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rahanit\Desktop\"/>
    </mc:Choice>
  </mc:AlternateContent>
  <bookViews>
    <workbookView xWindow="120" yWindow="45" windowWidth="12120" windowHeight="8130" tabRatio="802" firstSheet="4" activeTab="4"/>
  </bookViews>
  <sheets>
    <sheet name="h.w-1" sheetId="1" r:id="rId1"/>
    <sheet name="h.w-2" sheetId="2" r:id="rId2"/>
    <sheet name="Truss-Optimization-1" sheetId="6" r:id="rId3"/>
    <sheet name="tir-soton" sheetId="4" r:id="rId4"/>
    <sheet name="Pushover" sheetId="12" r:id="rId5"/>
  </sheets>
  <definedNames>
    <definedName name="solver_adj" localSheetId="0" hidden="1">'h.w-1'!$E$1:$E$2</definedName>
    <definedName name="solver_adj" localSheetId="1" hidden="1">'h.w-2'!$E$1:$E$2</definedName>
    <definedName name="solver_adj" localSheetId="4" hidden="1">Pushover!$G$6:$G$11,Pushover!$K$5:$K$11,Pushover!$O$4:$O$11,Pushover!$S$3:$S$11</definedName>
    <definedName name="solver_adj" localSheetId="3" hidden="1">'tir-soton'!$B$1:$B$4</definedName>
    <definedName name="solver_adj" localSheetId="2" hidden="1">'Truss-Optimization-1'!$C$5:$C$10</definedName>
    <definedName name="solver_cvg" localSheetId="0" hidden="1">0.000000001</definedName>
    <definedName name="solver_cvg" localSheetId="1" hidden="1">0.0000000000000001</definedName>
    <definedName name="solver_cvg" localSheetId="4" hidden="1">0.0001</definedName>
    <definedName name="solver_cvg" localSheetId="3" hidden="1">0.000001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3" hidden="1">1</definedName>
    <definedName name="solver_drv" localSheetId="2" hidden="1">1</definedName>
    <definedName name="solver_eng" localSheetId="4" hidden="1">1</definedName>
    <definedName name="solver_est" localSheetId="0" hidden="1">2</definedName>
    <definedName name="solver_est" localSheetId="1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0" hidden="1">100</definedName>
    <definedName name="solver_itr" localSheetId="1" hidden="1">100</definedName>
    <definedName name="solver_itr" localSheetId="4" hidden="1">5000</definedName>
    <definedName name="solver_itr" localSheetId="3" hidden="1">100</definedName>
    <definedName name="solver_itr" localSheetId="2" hidden="1">10000</definedName>
    <definedName name="solver_lhs1" localSheetId="0" hidden="1">'h.w-1'!$A$6</definedName>
    <definedName name="solver_lhs1" localSheetId="1" hidden="1">'h.w-2'!$E$2</definedName>
    <definedName name="solver_lhs1" localSheetId="4" hidden="1">Pushover!$B$10</definedName>
    <definedName name="solver_lhs1" localSheetId="3" hidden="1">'tir-soton'!$B$13</definedName>
    <definedName name="solver_lhs1" localSheetId="2" hidden="1">'Truss-Optimization-1'!$C$5</definedName>
    <definedName name="solver_lhs10" localSheetId="4" hidden="1">Pushover!$B$11</definedName>
    <definedName name="solver_lhs10" localSheetId="3" hidden="1">'tir-soton'!$B$4</definedName>
    <definedName name="solver_lhs10" localSheetId="2" hidden="1">'Truss-Optimization-1'!$L$23</definedName>
    <definedName name="solver_lhs11" localSheetId="4" hidden="1">Pushover!$D$183</definedName>
    <definedName name="solver_lhs11" localSheetId="3" hidden="1">'tir-soton'!$B$3</definedName>
    <definedName name="solver_lhs11" localSheetId="2" hidden="1">'Truss-Optimization-1'!$L$22</definedName>
    <definedName name="solver_lhs12" localSheetId="4" hidden="1">Pushover!$D$185</definedName>
    <definedName name="solver_lhs12" localSheetId="3" hidden="1">'tir-soton'!$B$16</definedName>
    <definedName name="solver_lhs12" localSheetId="2" hidden="1">'Truss-Optimization-1'!$L$21</definedName>
    <definedName name="solver_lhs13" localSheetId="4" hidden="1">Pushover!$D$187</definedName>
    <definedName name="solver_lhs13" localSheetId="3" hidden="1">'tir-soton'!$B$2</definedName>
    <definedName name="solver_lhs13" localSheetId="2" hidden="1">'Truss-Optimization-1'!$F$61</definedName>
    <definedName name="solver_lhs14" localSheetId="4" hidden="1">Pushover!$D$188</definedName>
    <definedName name="solver_lhs14" localSheetId="3" hidden="1">'tir-soton'!$B$2</definedName>
    <definedName name="solver_lhs14" localSheetId="2" hidden="1">'Truss-Optimization-1'!$F$62</definedName>
    <definedName name="solver_lhs15" localSheetId="4" hidden="1">Pushover!$D$244</definedName>
    <definedName name="solver_lhs15" localSheetId="3" hidden="1">'tir-soton'!$B$1</definedName>
    <definedName name="solver_lhs15" localSheetId="2" hidden="1">'Truss-Optimization-1'!$F$63</definedName>
    <definedName name="solver_lhs16" localSheetId="4" hidden="1">Pushover!$D$243</definedName>
    <definedName name="solver_lhs16" localSheetId="3" hidden="1">'tir-soton'!$B$1</definedName>
    <definedName name="solver_lhs17" localSheetId="4" hidden="1">Pushover!$D$248</definedName>
    <definedName name="solver_lhs17" localSheetId="3" hidden="1">'tir-soton'!$B$2</definedName>
    <definedName name="solver_lhs18" localSheetId="4" hidden="1">Pushover!$D$189</definedName>
    <definedName name="solver_lhs19" localSheetId="4" hidden="1">Pushover!$D$249</definedName>
    <definedName name="solver_lhs2" localSheetId="0" hidden="1">'h.w-1'!$A$7</definedName>
    <definedName name="solver_lhs2" localSheetId="1" hidden="1">'h.w-2'!$E$2</definedName>
    <definedName name="solver_lhs2" localSheetId="4" hidden="1">Pushover!$B$10</definedName>
    <definedName name="solver_lhs2" localSheetId="3" hidden="1">'tir-soton'!$B$14</definedName>
    <definedName name="solver_lhs2" localSheetId="2" hidden="1">'Truss-Optimization-1'!$C$5</definedName>
    <definedName name="solver_lhs20" localSheetId="4" hidden="1">Pushover!$D$242</definedName>
    <definedName name="solver_lhs21" localSheetId="4" hidden="1">Pushover!$D$66</definedName>
    <definedName name="solver_lhs22" localSheetId="4" hidden="1">Pushover!$D$245</definedName>
    <definedName name="solver_lhs23" localSheetId="4" hidden="1">Pushover!$D$246</definedName>
    <definedName name="solver_lhs24" localSheetId="4" hidden="1">Pushover!$D$247</definedName>
    <definedName name="solver_lhs25" localSheetId="4" hidden="1">Pushover!$D$184</definedName>
    <definedName name="solver_lhs26" localSheetId="4" hidden="1">Pushover!$D$67</definedName>
    <definedName name="solver_lhs27" localSheetId="4" hidden="1">Pushover!$D$250</definedName>
    <definedName name="solver_lhs28" localSheetId="4" hidden="1">Pushover!$D$186</definedName>
    <definedName name="solver_lhs29" localSheetId="4" hidden="1">Pushover!$D$68</definedName>
    <definedName name="solver_lhs3" localSheetId="0" hidden="1">'h.w-1'!$A$8</definedName>
    <definedName name="solver_lhs3" localSheetId="1" hidden="1">'h.w-2'!$E$1</definedName>
    <definedName name="solver_lhs3" localSheetId="4" hidden="1">Pushover!$B$6</definedName>
    <definedName name="solver_lhs3" localSheetId="3" hidden="1">'tir-soton'!$B$2</definedName>
    <definedName name="solver_lhs3" localSheetId="2" hidden="1">'Truss-Optimization-1'!$C$6</definedName>
    <definedName name="solver_lhs30" localSheetId="4" hidden="1">Pushover!$D$69</definedName>
    <definedName name="solver_lhs31" localSheetId="4" hidden="1">Pushover!$D$70</definedName>
    <definedName name="solver_lhs32" localSheetId="4" hidden="1">Pushover!$B$8</definedName>
    <definedName name="solver_lhs33" localSheetId="4" hidden="1">Pushover!$D$71</definedName>
    <definedName name="solver_lhs34" localSheetId="4" hidden="1">Pushover!$D$123</definedName>
    <definedName name="solver_lhs35" localSheetId="4" hidden="1">Pushover!$B$7</definedName>
    <definedName name="solver_lhs36" localSheetId="4" hidden="1">Pushover!$D$126</definedName>
    <definedName name="solver_lhs37" localSheetId="4" hidden="1">Pushover!$D$124</definedName>
    <definedName name="solver_lhs38" localSheetId="4" hidden="1">Pushover!$D$182</definedName>
    <definedName name="solver_lhs39" localSheetId="4" hidden="1">Pushover!$D$129</definedName>
    <definedName name="solver_lhs4" localSheetId="0" hidden="1">'h.w-1'!$E$2</definedName>
    <definedName name="solver_lhs4" localSheetId="1" hidden="1">'h.w-2'!$E$1</definedName>
    <definedName name="solver_lhs4" localSheetId="4" hidden="1">Pushover!$B$11</definedName>
    <definedName name="solver_lhs4" localSheetId="3" hidden="1">'tir-soton'!$B$1</definedName>
    <definedName name="solver_lhs4" localSheetId="2" hidden="1">'Truss-Optimization-1'!$C$6</definedName>
    <definedName name="solver_lhs40" localSheetId="4" hidden="1">Pushover!$D$127</definedName>
    <definedName name="solver_lhs41" localSheetId="4" hidden="1">Pushover!$D$125</definedName>
    <definedName name="solver_lhs42" localSheetId="4" hidden="1">Pushover!$D$128</definedName>
    <definedName name="solver_lhs5" localSheetId="0" hidden="1">'h.w-1'!$E$1</definedName>
    <definedName name="solver_lhs5" localSheetId="1" hidden="1">'h.w-2'!$E$2</definedName>
    <definedName name="solver_lhs5" localSheetId="4" hidden="1">Pushover!$B$7</definedName>
    <definedName name="solver_lhs5" localSheetId="3" hidden="1">'tir-soton'!$B$2</definedName>
    <definedName name="solver_lhs5" localSheetId="2" hidden="1">'Truss-Optimization-1'!$C$7</definedName>
    <definedName name="solver_lhs6" localSheetId="0" hidden="1">'h.w-1'!$E$2</definedName>
    <definedName name="solver_lhs6" localSheetId="1" hidden="1">'h.w-2'!$D$15</definedName>
    <definedName name="solver_lhs6" localSheetId="4" hidden="1">Pushover!$B$6</definedName>
    <definedName name="solver_lhs6" localSheetId="3" hidden="1">'tir-soton'!$B$4</definedName>
    <definedName name="solver_lhs6" localSheetId="2" hidden="1">'Truss-Optimization-1'!$C$7</definedName>
    <definedName name="solver_lhs7" localSheetId="0" hidden="1">'h.w-1'!$E$1</definedName>
    <definedName name="solver_lhs7" localSheetId="4" hidden="1">Pushover!$B$8</definedName>
    <definedName name="solver_lhs7" localSheetId="3" hidden="1">'tir-soton'!$B$3</definedName>
    <definedName name="solver_lhs7" localSheetId="2" hidden="1">'Truss-Optimization-1'!$L$22</definedName>
    <definedName name="solver_lhs8" localSheetId="0" hidden="1">'h.w-1'!$A$9</definedName>
    <definedName name="solver_lhs8" localSheetId="4" hidden="1">Pushover!$B$9</definedName>
    <definedName name="solver_lhs8" localSheetId="3" hidden="1">'tir-soton'!$B$2</definedName>
    <definedName name="solver_lhs8" localSheetId="2" hidden="1">'Truss-Optimization-1'!$L$23</definedName>
    <definedName name="solver_lhs9" localSheetId="0" hidden="1">'h.w-1'!$E$2</definedName>
    <definedName name="solver_lhs9" localSheetId="4" hidden="1">Pushover!$B$9</definedName>
    <definedName name="solver_lhs9" localSheetId="3" hidden="1">'tir-soton'!$B$1</definedName>
    <definedName name="solver_lhs9" localSheetId="2" hidden="1">'Truss-Optimization-1'!$L$21</definedName>
    <definedName name="solver_lin" localSheetId="0" hidden="1">2</definedName>
    <definedName name="solver_lin" localSheetId="1" hidden="1">2</definedName>
    <definedName name="solver_lin" localSheetId="4" hidden="1">2</definedName>
    <definedName name="solver_lin" localSheetId="3" hidden="1">2</definedName>
    <definedName name="solver_lin" localSheetId="2" hidden="1">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0" hidden="1">2</definedName>
    <definedName name="solver_neg" localSheetId="1" hidden="1">2</definedName>
    <definedName name="solver_neg" localSheetId="4" hidden="1">2</definedName>
    <definedName name="solver_neg" localSheetId="3" hidden="1">2</definedName>
    <definedName name="solver_neg" localSheetId="2" hidden="1">2</definedName>
    <definedName name="solver_nod" localSheetId="4" hidden="1">2147483647</definedName>
    <definedName name="solver_num" localSheetId="0" hidden="1">9</definedName>
    <definedName name="solver_num" localSheetId="1" hidden="1">5</definedName>
    <definedName name="solver_num" localSheetId="4" hidden="1">42</definedName>
    <definedName name="solver_num" localSheetId="3" hidden="1">16</definedName>
    <definedName name="solver_num" localSheetId="2" hidden="1">15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0" hidden="1">'h.w-1'!$E$3</definedName>
    <definedName name="solver_opt" localSheetId="1" hidden="1">'h.w-2'!$B$14</definedName>
    <definedName name="solver_opt" localSheetId="4" hidden="1">Pushover!$D$2</definedName>
    <definedName name="solver_opt" localSheetId="3" hidden="1">'tir-soton'!$B$18</definedName>
    <definedName name="solver_opt" localSheetId="2" hidden="1">'Truss-Optimization-1'!$F$66</definedName>
    <definedName name="solver_pre" localSheetId="0" hidden="1">0.00000000001</definedName>
    <definedName name="solver_pre" localSheetId="1" hidden="1">0.00000000000001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4" hidden="1">1</definedName>
    <definedName name="solver_rel1" localSheetId="0" hidden="1">3</definedName>
    <definedName name="solver_rel1" localSheetId="1" hidden="1">1</definedName>
    <definedName name="solver_rel1" localSheetId="4" hidden="1">1</definedName>
    <definedName name="solver_rel1" localSheetId="3" hidden="1">1</definedName>
    <definedName name="solver_rel1" localSheetId="2" hidden="1">1</definedName>
    <definedName name="solver_rel10" localSheetId="4" hidden="1">1</definedName>
    <definedName name="solver_rel10" localSheetId="3" hidden="1">1</definedName>
    <definedName name="solver_rel10" localSheetId="2" hidden="1">1</definedName>
    <definedName name="solver_rel11" localSheetId="4" hidden="1">2</definedName>
    <definedName name="solver_rel11" localSheetId="3" hidden="1">3</definedName>
    <definedName name="solver_rel11" localSheetId="2" hidden="1">1</definedName>
    <definedName name="solver_rel12" localSheetId="4" hidden="1">2</definedName>
    <definedName name="solver_rel12" localSheetId="3" hidden="1">1</definedName>
    <definedName name="solver_rel12" localSheetId="2" hidden="1">1</definedName>
    <definedName name="solver_rel13" localSheetId="4" hidden="1">2</definedName>
    <definedName name="solver_rel13" localSheetId="3" hidden="1">4</definedName>
    <definedName name="solver_rel13" localSheetId="2" hidden="1">2</definedName>
    <definedName name="solver_rel14" localSheetId="4" hidden="1">2</definedName>
    <definedName name="solver_rel14" localSheetId="3" hidden="1">1</definedName>
    <definedName name="solver_rel14" localSheetId="2" hidden="1">2</definedName>
    <definedName name="solver_rel15" localSheetId="4" hidden="1">2</definedName>
    <definedName name="solver_rel15" localSheetId="3" hidden="1">1</definedName>
    <definedName name="solver_rel15" localSheetId="2" hidden="1">2</definedName>
    <definedName name="solver_rel16" localSheetId="4" hidden="1">2</definedName>
    <definedName name="solver_rel16" localSheetId="3" hidden="1">3</definedName>
    <definedName name="solver_rel17" localSheetId="4" hidden="1">2</definedName>
    <definedName name="solver_rel17" localSheetId="3" hidden="1">3</definedName>
    <definedName name="solver_rel18" localSheetId="4" hidden="1">2</definedName>
    <definedName name="solver_rel19" localSheetId="4" hidden="1">2</definedName>
    <definedName name="solver_rel2" localSheetId="0" hidden="1">3</definedName>
    <definedName name="solver_rel2" localSheetId="1" hidden="1">3</definedName>
    <definedName name="solver_rel2" localSheetId="4" hidden="1">3</definedName>
    <definedName name="solver_rel2" localSheetId="3" hidden="1">1</definedName>
    <definedName name="solver_rel2" localSheetId="2" hidden="1">3</definedName>
    <definedName name="solver_rel20" localSheetId="4" hidden="1">2</definedName>
    <definedName name="solver_rel21" localSheetId="4" hidden="1">2</definedName>
    <definedName name="solver_rel22" localSheetId="4" hidden="1">2</definedName>
    <definedName name="solver_rel23" localSheetId="4" hidden="1">2</definedName>
    <definedName name="solver_rel24" localSheetId="4" hidden="1">2</definedName>
    <definedName name="solver_rel25" localSheetId="4" hidden="1">2</definedName>
    <definedName name="solver_rel26" localSheetId="4" hidden="1">2</definedName>
    <definedName name="solver_rel27" localSheetId="4" hidden="1">2</definedName>
    <definedName name="solver_rel28" localSheetId="4" hidden="1">2</definedName>
    <definedName name="solver_rel29" localSheetId="4" hidden="1">2</definedName>
    <definedName name="solver_rel3" localSheetId="0" hidden="1">3</definedName>
    <definedName name="solver_rel3" localSheetId="1" hidden="1">1</definedName>
    <definedName name="solver_rel3" localSheetId="4" hidden="1">3</definedName>
    <definedName name="solver_rel3" localSheetId="3" hidden="1">3</definedName>
    <definedName name="solver_rel3" localSheetId="2" hidden="1">1</definedName>
    <definedName name="solver_rel30" localSheetId="4" hidden="1">2</definedName>
    <definedName name="solver_rel31" localSheetId="4" hidden="1">2</definedName>
    <definedName name="solver_rel32" localSheetId="4" hidden="1">3</definedName>
    <definedName name="solver_rel33" localSheetId="4" hidden="1">2</definedName>
    <definedName name="solver_rel34" localSheetId="4" hidden="1">2</definedName>
    <definedName name="solver_rel35" localSheetId="4" hidden="1">3</definedName>
    <definedName name="solver_rel36" localSheetId="4" hidden="1">2</definedName>
    <definedName name="solver_rel37" localSheetId="4" hidden="1">2</definedName>
    <definedName name="solver_rel38" localSheetId="4" hidden="1">2</definedName>
    <definedName name="solver_rel39" localSheetId="4" hidden="1">2</definedName>
    <definedName name="solver_rel4" localSheetId="0" hidden="1">3</definedName>
    <definedName name="solver_rel4" localSheetId="1" hidden="1">3</definedName>
    <definedName name="solver_rel4" localSheetId="4" hidden="1">3</definedName>
    <definedName name="solver_rel4" localSheetId="3" hidden="1">3</definedName>
    <definedName name="solver_rel4" localSheetId="2" hidden="1">3</definedName>
    <definedName name="solver_rel40" localSheetId="4" hidden="1">2</definedName>
    <definedName name="solver_rel41" localSheetId="4" hidden="1">2</definedName>
    <definedName name="solver_rel42" localSheetId="4" hidden="1">2</definedName>
    <definedName name="solver_rel5" localSheetId="0" hidden="1">3</definedName>
    <definedName name="solver_rel5" localSheetId="1" hidden="1">3</definedName>
    <definedName name="solver_rel5" localSheetId="4" hidden="1">1</definedName>
    <definedName name="solver_rel5" localSheetId="3" hidden="1">3</definedName>
    <definedName name="solver_rel5" localSheetId="2" hidden="1">1</definedName>
    <definedName name="solver_rel6" localSheetId="0" hidden="1">1</definedName>
    <definedName name="solver_rel6" localSheetId="1" hidden="1">3</definedName>
    <definedName name="solver_rel6" localSheetId="4" hidden="1">1</definedName>
    <definedName name="solver_rel6" localSheetId="3" hidden="1">3</definedName>
    <definedName name="solver_rel6" localSheetId="2" hidden="1">3</definedName>
    <definedName name="solver_rel7" localSheetId="0" hidden="1">1</definedName>
    <definedName name="solver_rel7" localSheetId="4" hidden="1">1</definedName>
    <definedName name="solver_rel7" localSheetId="3" hidden="1">1</definedName>
    <definedName name="solver_rel7" localSheetId="2" hidden="1">1</definedName>
    <definedName name="solver_rel8" localSheetId="0" hidden="1">1</definedName>
    <definedName name="solver_rel8" localSheetId="4" hidden="1">1</definedName>
    <definedName name="solver_rel8" localSheetId="3" hidden="1">3</definedName>
    <definedName name="solver_rel8" localSheetId="2" hidden="1">1</definedName>
    <definedName name="solver_rel9" localSheetId="0" hidden="1">3</definedName>
    <definedName name="solver_rel9" localSheetId="4" hidden="1">3</definedName>
    <definedName name="solver_rel9" localSheetId="3" hidden="1">4</definedName>
    <definedName name="solver_rel9" localSheetId="2" hidden="1">1</definedName>
    <definedName name="solver_rhs1" localSheetId="0" hidden="1">0</definedName>
    <definedName name="solver_rhs1" localSheetId="1" hidden="1">'h.w-2'!$B$6</definedName>
    <definedName name="solver_rhs1" localSheetId="4" hidden="1">Pushover!$D$10</definedName>
    <definedName name="solver_rhs1" localSheetId="3" hidden="1">'tir-soton'!$D$13</definedName>
    <definedName name="solver_rhs1" localSheetId="2" hidden="1">'Truss-Optimization-1'!$E$5</definedName>
    <definedName name="solver_rhs10" localSheetId="4" hidden="1">Pushover!$D$11</definedName>
    <definedName name="solver_rhs10" localSheetId="3" hidden="1">'tir-soton'!$D$6</definedName>
    <definedName name="solver_rhs10" localSheetId="2" hidden="1">'Truss-Optimization-1'!$M$23</definedName>
    <definedName name="solver_rhs11" localSheetId="4" hidden="1">0</definedName>
    <definedName name="solver_rhs11" localSheetId="3" hidden="1">'tir-soton'!$B$5</definedName>
    <definedName name="solver_rhs11" localSheetId="2" hidden="1">'Truss-Optimization-1'!$M$22</definedName>
    <definedName name="solver_rhs12" localSheetId="4" hidden="1">0</definedName>
    <definedName name="solver_rhs12" localSheetId="3" hidden="1">0</definedName>
    <definedName name="solver_rhs12" localSheetId="2" hidden="1">'Truss-Optimization-1'!$M$21</definedName>
    <definedName name="solver_rhs13" localSheetId="4" hidden="1">0</definedName>
    <definedName name="solver_rhs13" localSheetId="3" hidden="1">integer</definedName>
    <definedName name="solver_rhs13" localSheetId="2" hidden="1">0</definedName>
    <definedName name="solver_rhs14" localSheetId="4" hidden="1">0</definedName>
    <definedName name="solver_rhs14" localSheetId="3" hidden="1">'tir-soton'!$D$8</definedName>
    <definedName name="solver_rhs14" localSheetId="2" hidden="1">0</definedName>
    <definedName name="solver_rhs15" localSheetId="4" hidden="1">0</definedName>
    <definedName name="solver_rhs15" localSheetId="3" hidden="1">'tir-soton'!$B$8</definedName>
    <definedName name="solver_rhs15" localSheetId="2" hidden="1">0</definedName>
    <definedName name="solver_rhs16" localSheetId="4" hidden="1">0</definedName>
    <definedName name="solver_rhs16" localSheetId="3" hidden="1">'tir-soton'!$B$8</definedName>
    <definedName name="solver_rhs17" localSheetId="4" hidden="1">0</definedName>
    <definedName name="solver_rhs17" localSheetId="3" hidden="1">'tir-soton'!$D$7</definedName>
    <definedName name="solver_rhs18" localSheetId="4" hidden="1">0</definedName>
    <definedName name="solver_rhs19" localSheetId="4" hidden="1">0</definedName>
    <definedName name="solver_rhs2" localSheetId="0" hidden="1">0</definedName>
    <definedName name="solver_rhs2" localSheetId="1" hidden="1">'h.w-2'!$B$5</definedName>
    <definedName name="solver_rhs2" localSheetId="4" hidden="1">Pushover!$C$10</definedName>
    <definedName name="solver_rhs2" localSheetId="3" hidden="1">'tir-soton'!$D$14</definedName>
    <definedName name="solver_rhs2" localSheetId="2" hidden="1">'Truss-Optimization-1'!$D$5</definedName>
    <definedName name="solver_rhs20" localSheetId="4" hidden="1">0</definedName>
    <definedName name="solver_rhs21" localSheetId="4" hidden="1">0</definedName>
    <definedName name="solver_rhs22" localSheetId="4" hidden="1">0</definedName>
    <definedName name="solver_rhs23" localSheetId="4" hidden="1">0</definedName>
    <definedName name="solver_rhs24" localSheetId="4" hidden="1">0</definedName>
    <definedName name="solver_rhs25" localSheetId="4" hidden="1">0</definedName>
    <definedName name="solver_rhs26" localSheetId="4" hidden="1">0</definedName>
    <definedName name="solver_rhs27" localSheetId="4" hidden="1">0</definedName>
    <definedName name="solver_rhs28" localSheetId="4" hidden="1">0</definedName>
    <definedName name="solver_rhs29" localSheetId="4" hidden="1">0</definedName>
    <definedName name="solver_rhs3" localSheetId="0" hidden="1">0</definedName>
    <definedName name="solver_rhs3" localSheetId="1" hidden="1">'h.w-2'!$B$8</definedName>
    <definedName name="solver_rhs3" localSheetId="4" hidden="1">Pushover!$C$6</definedName>
    <definedName name="solver_rhs3" localSheetId="3" hidden="1">'tir-soton'!$B$1</definedName>
    <definedName name="solver_rhs3" localSheetId="2" hidden="1">'Truss-Optimization-1'!$E$6</definedName>
    <definedName name="solver_rhs30" localSheetId="4" hidden="1">0</definedName>
    <definedName name="solver_rhs31" localSheetId="4" hidden="1">0</definedName>
    <definedName name="solver_rhs32" localSheetId="4" hidden="1">Pushover!$C$8</definedName>
    <definedName name="solver_rhs33" localSheetId="4" hidden="1">0</definedName>
    <definedName name="solver_rhs34" localSheetId="4" hidden="1">0</definedName>
    <definedName name="solver_rhs35" localSheetId="4" hidden="1">Pushover!$C$7</definedName>
    <definedName name="solver_rhs36" localSheetId="4" hidden="1">0</definedName>
    <definedName name="solver_rhs37" localSheetId="4" hidden="1">0</definedName>
    <definedName name="solver_rhs38" localSheetId="4" hidden="1">0</definedName>
    <definedName name="solver_rhs39" localSheetId="4" hidden="1">0</definedName>
    <definedName name="solver_rhs4" localSheetId="0" hidden="1">'h.w-1'!$A$10</definedName>
    <definedName name="solver_rhs4" localSheetId="1" hidden="1">'h.w-2'!$B$7</definedName>
    <definedName name="solver_rhs4" localSheetId="4" hidden="1">Pushover!$C$11</definedName>
    <definedName name="solver_rhs4" localSheetId="3" hidden="1">'tir-soton'!$B$15</definedName>
    <definedName name="solver_rhs4" localSheetId="2" hidden="1">'Truss-Optimization-1'!$D$6</definedName>
    <definedName name="solver_rhs40" localSheetId="4" hidden="1">0</definedName>
    <definedName name="solver_rhs41" localSheetId="4" hidden="1">0</definedName>
    <definedName name="solver_rhs42" localSheetId="4" hidden="1">0</definedName>
    <definedName name="solver_rhs5" localSheetId="0" hidden="1">'h.w-1'!$B$11</definedName>
    <definedName name="solver_rhs5" localSheetId="1" hidden="1">'h.w-2'!$B$11</definedName>
    <definedName name="solver_rhs5" localSheetId="4" hidden="1">Pushover!$D$7</definedName>
    <definedName name="solver_rhs5" localSheetId="3" hidden="1">'tir-soton'!$B$15</definedName>
    <definedName name="solver_rhs5" localSheetId="2" hidden="1">'Truss-Optimization-1'!$E$7</definedName>
    <definedName name="solver_rhs6" localSheetId="0" hidden="1">'h.w-1'!$B$14</definedName>
    <definedName name="solver_rhs6" localSheetId="1" hidden="1">'h.w-2'!$D$14</definedName>
    <definedName name="solver_rhs6" localSheetId="4" hidden="1">Pushover!$D$6</definedName>
    <definedName name="solver_rhs6" localSheetId="3" hidden="1">'tir-soton'!$D$5</definedName>
    <definedName name="solver_rhs6" localSheetId="2" hidden="1">'Truss-Optimization-1'!$D$7</definedName>
    <definedName name="solver_rhs7" localSheetId="0" hidden="1">'h.w-1'!$B$12</definedName>
    <definedName name="solver_rhs7" localSheetId="4" hidden="1">Pushover!$D$8</definedName>
    <definedName name="solver_rhs7" localSheetId="3" hidden="1">'tir-soton'!$B$6</definedName>
    <definedName name="solver_rhs7" localSheetId="2" hidden="1">'Truss-Optimization-1'!$M$22</definedName>
    <definedName name="solver_rhs8" localSheetId="0" hidden="1">0</definedName>
    <definedName name="solver_rhs8" localSheetId="4" hidden="1">Pushover!$D$9</definedName>
    <definedName name="solver_rhs8" localSheetId="3" hidden="1">'tir-soton'!$D$7</definedName>
    <definedName name="solver_rhs8" localSheetId="2" hidden="1">'Truss-Optimization-1'!$M$23</definedName>
    <definedName name="solver_rhs9" localSheetId="0" hidden="1">'h.w-1'!$B$13</definedName>
    <definedName name="solver_rhs9" localSheetId="4" hidden="1">Pushover!$C$9</definedName>
    <definedName name="solver_rhs9" localSheetId="3" hidden="1">integer</definedName>
    <definedName name="solver_rhs9" localSheetId="2" hidden="1">'Truss-Optimization-1'!$M$21</definedName>
    <definedName name="solver_rlx" localSheetId="4" hidden="1">1</definedName>
    <definedName name="solver_rsd" localSheetId="4" hidden="1">0</definedName>
    <definedName name="solver_scl" localSheetId="0" hidden="1">2</definedName>
    <definedName name="solver_scl" localSheetId="1" hidden="1">2</definedName>
    <definedName name="solver_scl" localSheetId="4" hidden="1">2</definedName>
    <definedName name="solver_scl" localSheetId="3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tim" localSheetId="0" hidden="1">100</definedName>
    <definedName name="solver_tim" localSheetId="1" hidden="1">100</definedName>
    <definedName name="solver_tim" localSheetId="4" hidden="1">5000</definedName>
    <definedName name="solver_tim" localSheetId="3" hidden="1">100</definedName>
    <definedName name="solver_tim" localSheetId="2" hidden="1">100</definedName>
    <definedName name="solver_tol" localSheetId="0" hidden="1">0.0000001</definedName>
    <definedName name="solver_tol" localSheetId="1" hidden="1">0.0000000001</definedName>
    <definedName name="solver_tol" localSheetId="4" hidden="1">0.000001</definedName>
    <definedName name="solver_tol" localSheetId="3" hidden="1">0.00000001</definedName>
    <definedName name="solver_tol" localSheetId="2" hidden="1">0.05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3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3</definedName>
  </definedNames>
  <calcPr calcId="152511" calcMode="autoNoTable"/>
  <customWorkbookViews>
    <customWorkbookView name="Administrator - Personal View" guid="{5E047470-7D77-426D-B94B-7966AE8B6508}" mergeInterval="0" personalView="1" maximized="1" xWindow="1" yWindow="1" windowWidth="1024" windowHeight="547" activeSheetId="2"/>
  </customWorkbookViews>
</workbook>
</file>

<file path=xl/calcChain.xml><?xml version="1.0" encoding="utf-8"?>
<calcChain xmlns="http://schemas.openxmlformats.org/spreadsheetml/2006/main">
  <c r="J13" i="12" l="1"/>
  <c r="AH231" i="12" l="1"/>
  <c r="AH228" i="12"/>
  <c r="AG228" i="12"/>
  <c r="AH171" i="12"/>
  <c r="AH168" i="12"/>
  <c r="AG168" i="12"/>
  <c r="AH113" i="12"/>
  <c r="AH110" i="12"/>
  <c r="AG110" i="12"/>
  <c r="AH56" i="12"/>
  <c r="AH53" i="12"/>
  <c r="AG53" i="12"/>
  <c r="AG224" i="12"/>
  <c r="AG221" i="12"/>
  <c r="AG220" i="12"/>
  <c r="AG219" i="12"/>
  <c r="AG215" i="12"/>
  <c r="AG214" i="12"/>
  <c r="AG213" i="12"/>
  <c r="AG212" i="12"/>
  <c r="AG211" i="12"/>
  <c r="AG210" i="12"/>
  <c r="AG206" i="12"/>
  <c r="AG205" i="12"/>
  <c r="AG204" i="12"/>
  <c r="AG5" i="12" s="1"/>
  <c r="AG203" i="12"/>
  <c r="T232" i="12"/>
  <c r="T233" i="12"/>
  <c r="T234" i="12"/>
  <c r="T235" i="12"/>
  <c r="T236" i="12"/>
  <c r="T237" i="12"/>
  <c r="T238" i="12"/>
  <c r="T239" i="12"/>
  <c r="T231" i="12"/>
  <c r="S236" i="12"/>
  <c r="R236" i="12"/>
  <c r="N226" i="12"/>
  <c r="M226" i="12"/>
  <c r="L226" i="12"/>
  <c r="K226" i="12"/>
  <c r="J226" i="12"/>
  <c r="I226" i="12"/>
  <c r="H226" i="12"/>
  <c r="G226" i="12"/>
  <c r="C226" i="12"/>
  <c r="B226" i="12"/>
  <c r="AX224" i="12"/>
  <c r="BD218" i="12" s="1"/>
  <c r="AX223" i="12"/>
  <c r="BC218" i="12" s="1"/>
  <c r="AX222" i="12"/>
  <c r="AX221" i="12"/>
  <c r="AX220" i="12"/>
  <c r="AZ218" i="12" s="1"/>
  <c r="AX219" i="12"/>
  <c r="AY218" i="12" s="1"/>
  <c r="BB218" i="12"/>
  <c r="BA218" i="12"/>
  <c r="AX215" i="12"/>
  <c r="BD209" i="12" s="1"/>
  <c r="AX214" i="12"/>
  <c r="BC209" i="12" s="1"/>
  <c r="AX213" i="12"/>
  <c r="AX212" i="12"/>
  <c r="AX211" i="12"/>
  <c r="AZ209" i="12" s="1"/>
  <c r="AX210" i="12"/>
  <c r="AY209" i="12" s="1"/>
  <c r="BB209" i="12"/>
  <c r="BA209" i="12"/>
  <c r="AX206" i="12"/>
  <c r="BD200" i="12" s="1"/>
  <c r="AX205" i="12"/>
  <c r="BC200" i="12" s="1"/>
  <c r="AX204" i="12"/>
  <c r="AX203" i="12"/>
  <c r="AX202" i="12"/>
  <c r="AZ200" i="12" s="1"/>
  <c r="AX201" i="12"/>
  <c r="AY200" i="12" s="1"/>
  <c r="BB200" i="12"/>
  <c r="BA200" i="12"/>
  <c r="F218" i="12"/>
  <c r="E218" i="12"/>
  <c r="D218" i="12"/>
  <c r="C218" i="12"/>
  <c r="B218" i="12"/>
  <c r="A218" i="12"/>
  <c r="D217" i="12"/>
  <c r="D216" i="12"/>
  <c r="F216" i="12" s="1"/>
  <c r="F209" i="12"/>
  <c r="E209" i="12"/>
  <c r="D209" i="12"/>
  <c r="C209" i="12"/>
  <c r="B209" i="12"/>
  <c r="A209" i="12"/>
  <c r="D208" i="12"/>
  <c r="D207" i="12"/>
  <c r="F207" i="12" s="1"/>
  <c r="F200" i="12"/>
  <c r="E200" i="12"/>
  <c r="D200" i="12"/>
  <c r="C200" i="12"/>
  <c r="B200" i="12"/>
  <c r="A200" i="12"/>
  <c r="D199" i="12"/>
  <c r="D198" i="12"/>
  <c r="F198" i="12" s="1"/>
  <c r="E195" i="12"/>
  <c r="D195" i="12"/>
  <c r="E194" i="12"/>
  <c r="D194" i="12"/>
  <c r="AG155" i="12"/>
  <c r="AG106" i="12"/>
  <c r="AG86" i="12"/>
  <c r="AG3" i="12" s="1"/>
  <c r="AG144" i="12"/>
  <c r="AG4" i="12" s="1"/>
  <c r="T174" i="12"/>
  <c r="T175" i="12"/>
  <c r="T176" i="12"/>
  <c r="T177" i="12"/>
  <c r="T178" i="12"/>
  <c r="T179" i="12"/>
  <c r="T173" i="12"/>
  <c r="T172" i="12"/>
  <c r="S176" i="12"/>
  <c r="R176" i="12"/>
  <c r="Y12" i="12"/>
  <c r="R233" i="12" s="1"/>
  <c r="N166" i="12"/>
  <c r="M166" i="12"/>
  <c r="L166" i="12"/>
  <c r="K166" i="12"/>
  <c r="J166" i="12"/>
  <c r="I166" i="12"/>
  <c r="H166" i="12"/>
  <c r="G166" i="12"/>
  <c r="F166" i="12"/>
  <c r="E166" i="12"/>
  <c r="D166" i="12"/>
  <c r="C166" i="12"/>
  <c r="B166" i="12"/>
  <c r="AX164" i="12"/>
  <c r="BD158" i="12" s="1"/>
  <c r="AX163" i="12"/>
  <c r="BC158" i="12" s="1"/>
  <c r="AX162" i="12"/>
  <c r="AX161" i="12"/>
  <c r="BA158" i="12" s="1"/>
  <c r="AX160" i="12"/>
  <c r="AZ158" i="12" s="1"/>
  <c r="AX159" i="12"/>
  <c r="AY158" i="12" s="1"/>
  <c r="BB158" i="12"/>
  <c r="AX155" i="12"/>
  <c r="BD149" i="12" s="1"/>
  <c r="AX154" i="12"/>
  <c r="BC149" i="12" s="1"/>
  <c r="AX153" i="12"/>
  <c r="BB149" i="12" s="1"/>
  <c r="AX152" i="12"/>
  <c r="BA149" i="12" s="1"/>
  <c r="AX151" i="12"/>
  <c r="AZ149" i="12" s="1"/>
  <c r="AX150" i="12"/>
  <c r="AY149" i="12" s="1"/>
  <c r="AX146" i="12"/>
  <c r="BD140" i="12" s="1"/>
  <c r="AX145" i="12"/>
  <c r="BC140" i="12" s="1"/>
  <c r="AX144" i="12"/>
  <c r="AX143" i="12"/>
  <c r="BA140" i="12" s="1"/>
  <c r="AX142" i="12"/>
  <c r="AZ140" i="12" s="1"/>
  <c r="AX141" i="12"/>
  <c r="AY140" i="12" s="1"/>
  <c r="BB140" i="12"/>
  <c r="AG164" i="12"/>
  <c r="AG161" i="12"/>
  <c r="AG160" i="12"/>
  <c r="AG159" i="12"/>
  <c r="AG154" i="12"/>
  <c r="AG153" i="12"/>
  <c r="AG152" i="12"/>
  <c r="AG151" i="12"/>
  <c r="AG150" i="12"/>
  <c r="AG146" i="12"/>
  <c r="AG145" i="12"/>
  <c r="AG39" i="12"/>
  <c r="AG38" i="12"/>
  <c r="AG29" i="12"/>
  <c r="AG2" i="12" s="1"/>
  <c r="F158" i="12"/>
  <c r="E158" i="12"/>
  <c r="D158" i="12"/>
  <c r="C158" i="12"/>
  <c r="B158" i="12"/>
  <c r="A158" i="12"/>
  <c r="D157" i="12"/>
  <c r="D156" i="12"/>
  <c r="F156" i="12" s="1"/>
  <c r="F149" i="12"/>
  <c r="E149" i="12"/>
  <c r="D149" i="12"/>
  <c r="C149" i="12"/>
  <c r="B149" i="12"/>
  <c r="A149" i="12"/>
  <c r="D148" i="12"/>
  <c r="D147" i="12"/>
  <c r="F147" i="12" s="1"/>
  <c r="F140" i="12"/>
  <c r="E140" i="12"/>
  <c r="D140" i="12"/>
  <c r="C140" i="12"/>
  <c r="B140" i="12"/>
  <c r="A140" i="12"/>
  <c r="D139" i="12"/>
  <c r="D138" i="12"/>
  <c r="F138" i="12" s="1"/>
  <c r="E135" i="12"/>
  <c r="D135" i="12"/>
  <c r="E134" i="12"/>
  <c r="D134" i="12"/>
  <c r="S116" i="12"/>
  <c r="S117" i="12"/>
  <c r="S118" i="12"/>
  <c r="S119" i="12"/>
  <c r="S120" i="12"/>
  <c r="S115" i="12"/>
  <c r="S114" i="12"/>
  <c r="AG103" i="12"/>
  <c r="AG102" i="12"/>
  <c r="AG101" i="12"/>
  <c r="AG97" i="12"/>
  <c r="AG96" i="12"/>
  <c r="AG95" i="12"/>
  <c r="AG94" i="12"/>
  <c r="AG93" i="12"/>
  <c r="AG92" i="12"/>
  <c r="AG88" i="12"/>
  <c r="AG87" i="12"/>
  <c r="Q61" i="12"/>
  <c r="Q58" i="12"/>
  <c r="Q118" i="12"/>
  <c r="Q115" i="12"/>
  <c r="R118" i="12"/>
  <c r="M108" i="12"/>
  <c r="L108" i="12"/>
  <c r="K108" i="12"/>
  <c r="J108" i="12"/>
  <c r="I108" i="12"/>
  <c r="H108" i="12"/>
  <c r="G108" i="12"/>
  <c r="F108" i="12"/>
  <c r="E108" i="12"/>
  <c r="D108" i="12"/>
  <c r="C108" i="12"/>
  <c r="AX106" i="12"/>
  <c r="BD100" i="12" s="1"/>
  <c r="AX105" i="12"/>
  <c r="AX104" i="12"/>
  <c r="BB100" i="12" s="1"/>
  <c r="AX103" i="12"/>
  <c r="BA100" i="12" s="1"/>
  <c r="AX102" i="12"/>
  <c r="AZ100" i="12" s="1"/>
  <c r="AX101" i="12"/>
  <c r="AY100" i="12" s="1"/>
  <c r="BC100" i="12"/>
  <c r="B108" i="12"/>
  <c r="F100" i="12"/>
  <c r="E100" i="12"/>
  <c r="D100" i="12"/>
  <c r="C100" i="12"/>
  <c r="B100" i="12"/>
  <c r="A100" i="12"/>
  <c r="D99" i="12"/>
  <c r="D98" i="12"/>
  <c r="F98" i="12" s="1"/>
  <c r="AX97" i="12"/>
  <c r="BD91" i="12" s="1"/>
  <c r="AX96" i="12"/>
  <c r="BC91" i="12" s="1"/>
  <c r="AX95" i="12"/>
  <c r="BB91" i="12" s="1"/>
  <c r="AX94" i="12"/>
  <c r="BA91" i="12" s="1"/>
  <c r="AX93" i="12"/>
  <c r="AX92" i="12"/>
  <c r="AZ91" i="12"/>
  <c r="AY91" i="12"/>
  <c r="AX88" i="12"/>
  <c r="AX87" i="12"/>
  <c r="AX86" i="12"/>
  <c r="BB82" i="12" s="1"/>
  <c r="AX85" i="12"/>
  <c r="BA82" i="12" s="1"/>
  <c r="AX84" i="12"/>
  <c r="AX83" i="12"/>
  <c r="BD82" i="12"/>
  <c r="BC82" i="12"/>
  <c r="AZ82" i="12"/>
  <c r="AY82" i="12"/>
  <c r="E77" i="12"/>
  <c r="D77" i="12"/>
  <c r="E76" i="12"/>
  <c r="D76" i="12"/>
  <c r="E20" i="12"/>
  <c r="C196" i="12" s="1"/>
  <c r="AH230" i="12" s="1"/>
  <c r="D20" i="12"/>
  <c r="B196" i="12" s="1"/>
  <c r="E19" i="12"/>
  <c r="C195" i="12" s="1"/>
  <c r="D19" i="12"/>
  <c r="B195" i="12" s="1"/>
  <c r="AG229" i="12" s="1"/>
  <c r="F91" i="12"/>
  <c r="E91" i="12"/>
  <c r="D91" i="12"/>
  <c r="C91" i="12"/>
  <c r="B91" i="12"/>
  <c r="A91" i="12"/>
  <c r="D90" i="12"/>
  <c r="D89" i="12"/>
  <c r="F89" i="12" s="1"/>
  <c r="F82" i="12"/>
  <c r="E82" i="12"/>
  <c r="D82" i="12"/>
  <c r="C82" i="12"/>
  <c r="B82" i="12"/>
  <c r="A82" i="12"/>
  <c r="D81" i="12"/>
  <c r="D80" i="12"/>
  <c r="F80" i="12" s="1"/>
  <c r="D42" i="12"/>
  <c r="D41" i="12"/>
  <c r="F41" i="12" s="1"/>
  <c r="D33" i="12"/>
  <c r="D32" i="12"/>
  <c r="F32" i="12" s="1"/>
  <c r="AG46" i="12"/>
  <c r="AG45" i="12"/>
  <c r="AG44" i="12"/>
  <c r="AG40" i="12"/>
  <c r="AG37" i="12"/>
  <c r="AG36" i="12"/>
  <c r="AG35" i="12"/>
  <c r="AG31" i="12"/>
  <c r="AG30" i="12"/>
  <c r="J14" i="12"/>
  <c r="M71" i="12" s="1"/>
  <c r="M247" i="12" s="1"/>
  <c r="H13" i="12"/>
  <c r="M69" i="12" s="1"/>
  <c r="M245" i="12" s="1"/>
  <c r="M67" i="12"/>
  <c r="M124" i="12" s="1"/>
  <c r="S60" i="12"/>
  <c r="S61" i="12"/>
  <c r="S62" i="12"/>
  <c r="S63" i="12"/>
  <c r="S59" i="12"/>
  <c r="S58" i="12"/>
  <c r="R61" i="12"/>
  <c r="X14" i="12"/>
  <c r="M51" i="12"/>
  <c r="L51" i="12"/>
  <c r="K51" i="12"/>
  <c r="J51" i="12"/>
  <c r="I51" i="12"/>
  <c r="H51" i="12"/>
  <c r="G51" i="12"/>
  <c r="F51" i="12"/>
  <c r="E51" i="12"/>
  <c r="D51" i="12"/>
  <c r="C51" i="12"/>
  <c r="B51" i="12"/>
  <c r="AX49" i="12"/>
  <c r="AX48" i="12"/>
  <c r="BC43" i="12" s="1"/>
  <c r="AX47" i="12"/>
  <c r="BB43" i="12" s="1"/>
  <c r="AX46" i="12"/>
  <c r="AX45" i="12"/>
  <c r="AX44" i="12"/>
  <c r="AY43" i="12" s="1"/>
  <c r="BD43" i="12"/>
  <c r="BA43" i="12"/>
  <c r="AZ43" i="12"/>
  <c r="AX40" i="12"/>
  <c r="AX39" i="12"/>
  <c r="BC34" i="12" s="1"/>
  <c r="AX38" i="12"/>
  <c r="BB34" i="12" s="1"/>
  <c r="AX37" i="12"/>
  <c r="AX36" i="12"/>
  <c r="AX35" i="12"/>
  <c r="AY34" i="12" s="1"/>
  <c r="BD34" i="12"/>
  <c r="BA34" i="12"/>
  <c r="AZ34" i="12"/>
  <c r="AX31" i="12"/>
  <c r="BD25" i="12" s="1"/>
  <c r="AX30" i="12"/>
  <c r="BC25" i="12" s="1"/>
  <c r="AX29" i="12"/>
  <c r="BB25" i="12" s="1"/>
  <c r="AX28" i="12"/>
  <c r="AX27" i="12"/>
  <c r="AX26" i="12"/>
  <c r="AY25" i="12" s="1"/>
  <c r="BA25" i="12"/>
  <c r="AZ25" i="12"/>
  <c r="F43" i="12"/>
  <c r="E43" i="12"/>
  <c r="D43" i="12"/>
  <c r="C43" i="12"/>
  <c r="B43" i="12"/>
  <c r="A43" i="12"/>
  <c r="F34" i="12"/>
  <c r="E34" i="12"/>
  <c r="D34" i="12"/>
  <c r="C34" i="12"/>
  <c r="B34" i="12"/>
  <c r="A34" i="12"/>
  <c r="D23" i="12"/>
  <c r="F23" i="12" s="1"/>
  <c r="D24" i="12"/>
  <c r="F25" i="12"/>
  <c r="E25" i="12"/>
  <c r="D25" i="12"/>
  <c r="C25" i="12"/>
  <c r="B25" i="12"/>
  <c r="A25" i="12"/>
  <c r="X13" i="12"/>
  <c r="H14" i="12"/>
  <c r="F14" i="12"/>
  <c r="AH229" i="12" l="1"/>
  <c r="W13" i="12"/>
  <c r="B21" i="12"/>
  <c r="D196" i="12" s="1"/>
  <c r="AG231" i="12" s="1"/>
  <c r="C21" i="12"/>
  <c r="AH55" i="12" s="1"/>
  <c r="AG230" i="12"/>
  <c r="AG55" i="12"/>
  <c r="M243" i="12"/>
  <c r="M126" i="12"/>
  <c r="M185" i="12"/>
  <c r="M128" i="12"/>
  <c r="M187" i="12"/>
  <c r="B20" i="12"/>
  <c r="C20" i="12"/>
  <c r="AH54" i="12" s="1"/>
  <c r="D21" i="12"/>
  <c r="AG56" i="12" s="1"/>
  <c r="B77" i="12"/>
  <c r="AG111" i="12" s="1"/>
  <c r="C77" i="12"/>
  <c r="AH111" i="12" s="1"/>
  <c r="B78" i="12"/>
  <c r="AG112" i="12" s="1"/>
  <c r="D78" i="12"/>
  <c r="AG113" i="12" s="1"/>
  <c r="BD101" i="12"/>
  <c r="BD102" i="12"/>
  <c r="BD103" i="12"/>
  <c r="BD104" i="12"/>
  <c r="BD105" i="12"/>
  <c r="BD106" i="12"/>
  <c r="B135" i="12"/>
  <c r="AG169" i="12" s="1"/>
  <c r="C135" i="12"/>
  <c r="AH169" i="12" s="1"/>
  <c r="B136" i="12"/>
  <c r="AG170" i="12" s="1"/>
  <c r="D136" i="12"/>
  <c r="AG171" i="12" s="1"/>
  <c r="BD141" i="12"/>
  <c r="BD142" i="12"/>
  <c r="BD143" i="12"/>
  <c r="BD144" i="12"/>
  <c r="BD145" i="12"/>
  <c r="BD146" i="12"/>
  <c r="BD150" i="12"/>
  <c r="BD151" i="12"/>
  <c r="BD152" i="12"/>
  <c r="BD153" i="12"/>
  <c r="BD154" i="12"/>
  <c r="BD155" i="12"/>
  <c r="BD159" i="12"/>
  <c r="BD160" i="12"/>
  <c r="BD161" i="12"/>
  <c r="BD162" i="12"/>
  <c r="BD163" i="12"/>
  <c r="BD164" i="12"/>
  <c r="R173" i="12"/>
  <c r="BD201" i="12"/>
  <c r="BD202" i="12"/>
  <c r="BD203" i="12"/>
  <c r="BD204" i="12"/>
  <c r="BD205" i="12"/>
  <c r="BD206" i="12"/>
  <c r="BD210" i="12"/>
  <c r="BD211" i="12"/>
  <c r="BD212" i="12"/>
  <c r="BD213" i="12"/>
  <c r="BD214" i="12"/>
  <c r="BD215" i="12"/>
  <c r="BD219" i="12"/>
  <c r="BD220" i="12"/>
  <c r="BD221" i="12"/>
  <c r="BD222" i="12"/>
  <c r="BD223" i="12"/>
  <c r="BD224" i="12"/>
  <c r="AY201" i="12"/>
  <c r="AZ201" i="12"/>
  <c r="BA201" i="12"/>
  <c r="BB201" i="12"/>
  <c r="BC201" i="12"/>
  <c r="AY202" i="12"/>
  <c r="AZ202" i="12"/>
  <c r="BA202" i="12"/>
  <c r="BB202" i="12"/>
  <c r="BC202" i="12"/>
  <c r="AY203" i="12"/>
  <c r="AZ203" i="12"/>
  <c r="BA203" i="12"/>
  <c r="BB203" i="12"/>
  <c r="BC203" i="12"/>
  <c r="AY204" i="12"/>
  <c r="AZ204" i="12"/>
  <c r="BA204" i="12"/>
  <c r="BB204" i="12"/>
  <c r="BC204" i="12"/>
  <c r="AY205" i="12"/>
  <c r="AZ205" i="12"/>
  <c r="BA205" i="12"/>
  <c r="BB205" i="12"/>
  <c r="BC205" i="12"/>
  <c r="AY206" i="12"/>
  <c r="AZ206" i="12"/>
  <c r="BA206" i="12"/>
  <c r="BB206" i="12"/>
  <c r="BC206" i="12"/>
  <c r="AY210" i="12"/>
  <c r="AZ210" i="12"/>
  <c r="BA210" i="12"/>
  <c r="BB210" i="12"/>
  <c r="BC210" i="12"/>
  <c r="AY211" i="12"/>
  <c r="AZ211" i="12"/>
  <c r="BA211" i="12"/>
  <c r="BB211" i="12"/>
  <c r="BC211" i="12"/>
  <c r="AY212" i="12"/>
  <c r="AZ212" i="12"/>
  <c r="BA212" i="12"/>
  <c r="BB212" i="12"/>
  <c r="BC212" i="12"/>
  <c r="AY213" i="12"/>
  <c r="AZ213" i="12"/>
  <c r="BA213" i="12"/>
  <c r="BB213" i="12"/>
  <c r="BC213" i="12"/>
  <c r="AY214" i="12"/>
  <c r="AZ214" i="12"/>
  <c r="BA214" i="12"/>
  <c r="BB214" i="12"/>
  <c r="BC214" i="12"/>
  <c r="AY215" i="12"/>
  <c r="AZ215" i="12"/>
  <c r="BA215" i="12"/>
  <c r="BB215" i="12"/>
  <c r="BC215" i="12"/>
  <c r="AY219" i="12"/>
  <c r="AZ219" i="12"/>
  <c r="BA219" i="12"/>
  <c r="BB219" i="12"/>
  <c r="BC219" i="12"/>
  <c r="AY220" i="12"/>
  <c r="AZ220" i="12"/>
  <c r="BA220" i="12"/>
  <c r="BB220" i="12"/>
  <c r="BC220" i="12"/>
  <c r="AY221" i="12"/>
  <c r="AZ221" i="12"/>
  <c r="BA221" i="12"/>
  <c r="BB221" i="12"/>
  <c r="BC221" i="12"/>
  <c r="AY222" i="12"/>
  <c r="AZ222" i="12"/>
  <c r="BA222" i="12"/>
  <c r="BB222" i="12"/>
  <c r="BC222" i="12"/>
  <c r="AY223" i="12"/>
  <c r="AZ223" i="12"/>
  <c r="BA223" i="12"/>
  <c r="BB223" i="12"/>
  <c r="BC223" i="12"/>
  <c r="AY224" i="12"/>
  <c r="AZ224" i="12"/>
  <c r="BA224" i="12"/>
  <c r="BB224" i="12"/>
  <c r="BC224" i="12"/>
  <c r="C78" i="12"/>
  <c r="AH112" i="12" s="1"/>
  <c r="C136" i="12"/>
  <c r="AH170" i="12" s="1"/>
  <c r="M183" i="12"/>
  <c r="F194" i="12"/>
  <c r="J199" i="12" s="1"/>
  <c r="F195" i="12"/>
  <c r="J208" i="12" s="1"/>
  <c r="F196" i="12"/>
  <c r="J217" i="12" s="1"/>
  <c r="AY159" i="12"/>
  <c r="AZ159" i="12"/>
  <c r="BA159" i="12"/>
  <c r="BB159" i="12"/>
  <c r="BC159" i="12"/>
  <c r="AY160" i="12"/>
  <c r="AZ160" i="12"/>
  <c r="BA160" i="12"/>
  <c r="BB160" i="12"/>
  <c r="BC160" i="12"/>
  <c r="AY161" i="12"/>
  <c r="AZ161" i="12"/>
  <c r="BA161" i="12"/>
  <c r="BB161" i="12"/>
  <c r="BC161" i="12"/>
  <c r="AY162" i="12"/>
  <c r="AZ162" i="12"/>
  <c r="BA162" i="12"/>
  <c r="BB162" i="12"/>
  <c r="BC162" i="12"/>
  <c r="AY163" i="12"/>
  <c r="AZ163" i="12"/>
  <c r="BA163" i="12"/>
  <c r="BB163" i="12"/>
  <c r="BC163" i="12"/>
  <c r="AY164" i="12"/>
  <c r="AZ164" i="12"/>
  <c r="BA164" i="12"/>
  <c r="BB164" i="12"/>
  <c r="BC164" i="12"/>
  <c r="AY150" i="12"/>
  <c r="AZ150" i="12"/>
  <c r="BA150" i="12"/>
  <c r="BB150" i="12"/>
  <c r="BC150" i="12"/>
  <c r="AY151" i="12"/>
  <c r="AZ151" i="12"/>
  <c r="BA151" i="12"/>
  <c r="BB151" i="12"/>
  <c r="BC151" i="12"/>
  <c r="AY152" i="12"/>
  <c r="AZ152" i="12"/>
  <c r="BA152" i="12"/>
  <c r="BB152" i="12"/>
  <c r="BC152" i="12"/>
  <c r="AY153" i="12"/>
  <c r="AZ153" i="12"/>
  <c r="BA153" i="12"/>
  <c r="BB153" i="12"/>
  <c r="BC153" i="12"/>
  <c r="AY154" i="12"/>
  <c r="AZ154" i="12"/>
  <c r="BA154" i="12"/>
  <c r="BB154" i="12"/>
  <c r="BC154" i="12"/>
  <c r="AY155" i="12"/>
  <c r="AZ155" i="12"/>
  <c r="BA155" i="12"/>
  <c r="BB155" i="12"/>
  <c r="BC155" i="12"/>
  <c r="AY141" i="12"/>
  <c r="AZ141" i="12"/>
  <c r="BA141" i="12"/>
  <c r="BB141" i="12"/>
  <c r="BC141" i="12"/>
  <c r="AY142" i="12"/>
  <c r="AZ142" i="12"/>
  <c r="BA142" i="12"/>
  <c r="BB142" i="12"/>
  <c r="BC142" i="12"/>
  <c r="AY143" i="12"/>
  <c r="AZ143" i="12"/>
  <c r="BA143" i="12"/>
  <c r="BB143" i="12"/>
  <c r="BC143" i="12"/>
  <c r="AY144" i="12"/>
  <c r="AZ144" i="12"/>
  <c r="BA144" i="12"/>
  <c r="BB144" i="12"/>
  <c r="BC144" i="12"/>
  <c r="AY145" i="12"/>
  <c r="AZ145" i="12"/>
  <c r="BA145" i="12"/>
  <c r="BB145" i="12"/>
  <c r="BC145" i="12"/>
  <c r="AY146" i="12"/>
  <c r="AZ146" i="12"/>
  <c r="BA146" i="12"/>
  <c r="BB146" i="12"/>
  <c r="BC146" i="12"/>
  <c r="F134" i="12"/>
  <c r="J139" i="12" s="1"/>
  <c r="AY101" i="12"/>
  <c r="AZ101" i="12"/>
  <c r="BA101" i="12"/>
  <c r="BB101" i="12"/>
  <c r="BC101" i="12"/>
  <c r="AY102" i="12"/>
  <c r="AZ102" i="12"/>
  <c r="BA102" i="12"/>
  <c r="BB102" i="12"/>
  <c r="BC102" i="12"/>
  <c r="AY103" i="12"/>
  <c r="AZ103" i="12"/>
  <c r="BA103" i="12"/>
  <c r="BB103" i="12"/>
  <c r="BC103" i="12"/>
  <c r="AY104" i="12"/>
  <c r="AZ104" i="12"/>
  <c r="BA104" i="12"/>
  <c r="BB104" i="12"/>
  <c r="BC104" i="12"/>
  <c r="AY105" i="12"/>
  <c r="AZ105" i="12"/>
  <c r="BA105" i="12"/>
  <c r="BB105" i="12"/>
  <c r="BC105" i="12"/>
  <c r="AY106" i="12"/>
  <c r="AZ106" i="12"/>
  <c r="BA106" i="12"/>
  <c r="BB106" i="12"/>
  <c r="BC106" i="12"/>
  <c r="BD92" i="12"/>
  <c r="BD93" i="12"/>
  <c r="BD94" i="12"/>
  <c r="BD95" i="12"/>
  <c r="BD96" i="12"/>
  <c r="BD97" i="12"/>
  <c r="BD83" i="12"/>
  <c r="BD84" i="12"/>
  <c r="BD85" i="12"/>
  <c r="BD86" i="12"/>
  <c r="BD87" i="12"/>
  <c r="BD88" i="12"/>
  <c r="AY92" i="12"/>
  <c r="AZ92" i="12"/>
  <c r="BA92" i="12"/>
  <c r="BB92" i="12"/>
  <c r="BC92" i="12"/>
  <c r="AY93" i="12"/>
  <c r="AZ93" i="12"/>
  <c r="BA93" i="12"/>
  <c r="BB93" i="12"/>
  <c r="BC93" i="12"/>
  <c r="AY94" i="12"/>
  <c r="AZ94" i="12"/>
  <c r="BA94" i="12"/>
  <c r="BB94" i="12"/>
  <c r="BC94" i="12"/>
  <c r="AY95" i="12"/>
  <c r="AZ95" i="12"/>
  <c r="BA95" i="12"/>
  <c r="BB95" i="12"/>
  <c r="BC95" i="12"/>
  <c r="AY96" i="12"/>
  <c r="AZ96" i="12"/>
  <c r="BA96" i="12"/>
  <c r="BB96" i="12"/>
  <c r="BC96" i="12"/>
  <c r="AY97" i="12"/>
  <c r="AZ97" i="12"/>
  <c r="BA97" i="12"/>
  <c r="BB97" i="12"/>
  <c r="BC97" i="12"/>
  <c r="AY83" i="12"/>
  <c r="AZ83" i="12"/>
  <c r="BA83" i="12"/>
  <c r="BB83" i="12"/>
  <c r="BC83" i="12"/>
  <c r="AY84" i="12"/>
  <c r="AZ84" i="12"/>
  <c r="BA84" i="12"/>
  <c r="BB84" i="12"/>
  <c r="BC84" i="12"/>
  <c r="AY85" i="12"/>
  <c r="AZ85" i="12"/>
  <c r="BA85" i="12"/>
  <c r="BB85" i="12"/>
  <c r="BC85" i="12"/>
  <c r="AY86" i="12"/>
  <c r="AZ86" i="12"/>
  <c r="BA86" i="12"/>
  <c r="BB86" i="12"/>
  <c r="BC86" i="12"/>
  <c r="AY87" i="12"/>
  <c r="AZ87" i="12"/>
  <c r="BA87" i="12"/>
  <c r="BB87" i="12"/>
  <c r="BC87" i="12"/>
  <c r="AY88" i="12"/>
  <c r="AZ88" i="12"/>
  <c r="BA88" i="12"/>
  <c r="BB88" i="12"/>
  <c r="BC88" i="12"/>
  <c r="F76" i="12"/>
  <c r="J81" i="12" s="1"/>
  <c r="I66" i="12"/>
  <c r="I68" i="12"/>
  <c r="I70" i="12"/>
  <c r="I67" i="12"/>
  <c r="I71" i="12"/>
  <c r="M66" i="12"/>
  <c r="M242" i="12" s="1"/>
  <c r="M68" i="12"/>
  <c r="M244" i="12" s="1"/>
  <c r="I69" i="12"/>
  <c r="M70" i="12"/>
  <c r="M246" i="12" s="1"/>
  <c r="BD44" i="12"/>
  <c r="BD45" i="12"/>
  <c r="BD46" i="12"/>
  <c r="BD47" i="12"/>
  <c r="BD48" i="12"/>
  <c r="BD49" i="12"/>
  <c r="BD35" i="12"/>
  <c r="BD36" i="12"/>
  <c r="BD37" i="12"/>
  <c r="BD38" i="12"/>
  <c r="BD39" i="12"/>
  <c r="BD40" i="12"/>
  <c r="BD26" i="12"/>
  <c r="BD27" i="12"/>
  <c r="BD28" i="12"/>
  <c r="BD29" i="12"/>
  <c r="BD30" i="12"/>
  <c r="BD31" i="12"/>
  <c r="AY44" i="12"/>
  <c r="AZ44" i="12"/>
  <c r="BA44" i="12"/>
  <c r="BB44" i="12"/>
  <c r="BC44" i="12"/>
  <c r="AY45" i="12"/>
  <c r="AZ45" i="12"/>
  <c r="BA45" i="12"/>
  <c r="BB45" i="12"/>
  <c r="BC45" i="12"/>
  <c r="AY46" i="12"/>
  <c r="AZ46" i="12"/>
  <c r="BA46" i="12"/>
  <c r="BB46" i="12"/>
  <c r="BC46" i="12"/>
  <c r="AY47" i="12"/>
  <c r="AZ47" i="12"/>
  <c r="BA47" i="12"/>
  <c r="BB47" i="12"/>
  <c r="BC47" i="12"/>
  <c r="AY48" i="12"/>
  <c r="AZ48" i="12"/>
  <c r="BA48" i="12"/>
  <c r="BB48" i="12"/>
  <c r="BC48" i="12"/>
  <c r="AY49" i="12"/>
  <c r="AZ49" i="12"/>
  <c r="BA49" i="12"/>
  <c r="BB49" i="12"/>
  <c r="BC49" i="12"/>
  <c r="AY35" i="12"/>
  <c r="AZ35" i="12"/>
  <c r="BA35" i="12"/>
  <c r="BB35" i="12"/>
  <c r="BC35" i="12"/>
  <c r="AY36" i="12"/>
  <c r="AZ36" i="12"/>
  <c r="BA36" i="12"/>
  <c r="BB36" i="12"/>
  <c r="BC36" i="12"/>
  <c r="AY37" i="12"/>
  <c r="AZ37" i="12"/>
  <c r="BA37" i="12"/>
  <c r="BB37" i="12"/>
  <c r="BC37" i="12"/>
  <c r="AY38" i="12"/>
  <c r="AZ38" i="12"/>
  <c r="BA38" i="12"/>
  <c r="BB38" i="12"/>
  <c r="BC38" i="12"/>
  <c r="AY39" i="12"/>
  <c r="AZ39" i="12"/>
  <c r="BA39" i="12"/>
  <c r="BB39" i="12"/>
  <c r="BC39" i="12"/>
  <c r="AY40" i="12"/>
  <c r="AZ40" i="12"/>
  <c r="BA40" i="12"/>
  <c r="BB40" i="12"/>
  <c r="BC40" i="12"/>
  <c r="AY26" i="12"/>
  <c r="AZ26" i="12"/>
  <c r="BA26" i="12"/>
  <c r="BB26" i="12"/>
  <c r="BC26" i="12"/>
  <c r="AY27" i="12"/>
  <c r="AZ27" i="12"/>
  <c r="BA27" i="12"/>
  <c r="BB27" i="12"/>
  <c r="BC27" i="12"/>
  <c r="AY28" i="12"/>
  <c r="AZ28" i="12"/>
  <c r="BA28" i="12"/>
  <c r="BB28" i="12"/>
  <c r="BC28" i="12"/>
  <c r="AY29" i="12"/>
  <c r="AZ29" i="12"/>
  <c r="BA29" i="12"/>
  <c r="BB29" i="12"/>
  <c r="BC29" i="12"/>
  <c r="AY30" i="12"/>
  <c r="AZ30" i="12"/>
  <c r="BA30" i="12"/>
  <c r="BB30" i="12"/>
  <c r="BC30" i="12"/>
  <c r="AY31" i="12"/>
  <c r="AZ31" i="12"/>
  <c r="BA31" i="12"/>
  <c r="BB31" i="12"/>
  <c r="BC31" i="12"/>
  <c r="F19" i="12"/>
  <c r="B24" i="12" s="1"/>
  <c r="F20" i="12" l="1"/>
  <c r="J32" i="12" s="1"/>
  <c r="F136" i="12"/>
  <c r="B157" i="12" s="1"/>
  <c r="B179" i="12"/>
  <c r="W12" i="12"/>
  <c r="AG54" i="12"/>
  <c r="E109" i="12"/>
  <c r="F135" i="12"/>
  <c r="B148" i="12" s="1"/>
  <c r="F217" i="12"/>
  <c r="X12" i="12"/>
  <c r="F208" i="12"/>
  <c r="L213" i="12" s="1"/>
  <c r="M127" i="12"/>
  <c r="M186" i="12"/>
  <c r="M125" i="12"/>
  <c r="M184" i="12"/>
  <c r="D231" i="12"/>
  <c r="E231" i="12"/>
  <c r="D233" i="12"/>
  <c r="E233" i="12"/>
  <c r="D234" i="12"/>
  <c r="E234" i="12"/>
  <c r="D235" i="12"/>
  <c r="E235" i="12"/>
  <c r="D239" i="12"/>
  <c r="E239" i="12"/>
  <c r="D227" i="12"/>
  <c r="E227" i="12"/>
  <c r="D228" i="12"/>
  <c r="E228" i="12"/>
  <c r="F229" i="12"/>
  <c r="F230" i="12"/>
  <c r="B63" i="12"/>
  <c r="C232" i="12"/>
  <c r="C236" i="12"/>
  <c r="C237" i="12"/>
  <c r="C238" i="12"/>
  <c r="C239" i="12"/>
  <c r="B238" i="12"/>
  <c r="B237" i="12"/>
  <c r="B236" i="12"/>
  <c r="B232" i="12"/>
  <c r="G227" i="12"/>
  <c r="K227" i="12"/>
  <c r="L227" i="12"/>
  <c r="M227" i="12"/>
  <c r="N227" i="12"/>
  <c r="G228" i="12"/>
  <c r="K228" i="12"/>
  <c r="L228" i="12"/>
  <c r="M228" i="12"/>
  <c r="N228" i="12"/>
  <c r="C229" i="12"/>
  <c r="H229" i="12"/>
  <c r="I229" i="12"/>
  <c r="J229" i="12"/>
  <c r="N229" i="12"/>
  <c r="C230" i="12"/>
  <c r="H230" i="12"/>
  <c r="I230" i="12"/>
  <c r="J230" i="12"/>
  <c r="N230" i="12"/>
  <c r="B230" i="12"/>
  <c r="B229" i="12"/>
  <c r="N231" i="12"/>
  <c r="I231" i="12"/>
  <c r="B239" i="12"/>
  <c r="E179" i="12"/>
  <c r="F179" i="12"/>
  <c r="B178" i="12"/>
  <c r="B177" i="12"/>
  <c r="B176" i="12"/>
  <c r="B172" i="12"/>
  <c r="B171" i="12"/>
  <c r="B170" i="12"/>
  <c r="E167" i="12"/>
  <c r="F167" i="12"/>
  <c r="G167" i="12"/>
  <c r="K167" i="12"/>
  <c r="L167" i="12"/>
  <c r="M167" i="12"/>
  <c r="N167" i="12"/>
  <c r="E110" i="12"/>
  <c r="F110" i="12"/>
  <c r="G110" i="12"/>
  <c r="K110" i="12"/>
  <c r="L110" i="12"/>
  <c r="M110" i="12"/>
  <c r="E111" i="12"/>
  <c r="F111" i="12"/>
  <c r="G111" i="12"/>
  <c r="K111" i="12"/>
  <c r="L111" i="12"/>
  <c r="M111" i="12"/>
  <c r="C113" i="12"/>
  <c r="D113" i="12"/>
  <c r="H113" i="12"/>
  <c r="I113" i="12"/>
  <c r="J113" i="12"/>
  <c r="C114" i="12"/>
  <c r="D114" i="12"/>
  <c r="E115" i="12"/>
  <c r="F115" i="12"/>
  <c r="E116" i="12"/>
  <c r="F116" i="12"/>
  <c r="E117" i="12"/>
  <c r="F117" i="12"/>
  <c r="C118" i="12"/>
  <c r="D118" i="12"/>
  <c r="C119" i="12"/>
  <c r="D119" i="12"/>
  <c r="C120" i="12"/>
  <c r="D120" i="12"/>
  <c r="B119" i="12"/>
  <c r="B118" i="12"/>
  <c r="B114" i="12"/>
  <c r="B113" i="12"/>
  <c r="B112" i="12"/>
  <c r="N171" i="12"/>
  <c r="N170" i="12"/>
  <c r="N169" i="12"/>
  <c r="N168" i="12"/>
  <c r="M170" i="12"/>
  <c r="M169" i="12"/>
  <c r="M168" i="12"/>
  <c r="L170" i="12"/>
  <c r="L169" i="12"/>
  <c r="L168" i="12"/>
  <c r="K170" i="12"/>
  <c r="K169" i="12"/>
  <c r="K168" i="12"/>
  <c r="J171" i="12"/>
  <c r="J170" i="12"/>
  <c r="I171" i="12"/>
  <c r="I170" i="12"/>
  <c r="H171" i="12"/>
  <c r="H170" i="12"/>
  <c r="G170" i="12"/>
  <c r="G169" i="12"/>
  <c r="G168" i="12"/>
  <c r="F175" i="12"/>
  <c r="F174" i="12"/>
  <c r="F173" i="12"/>
  <c r="F170" i="12"/>
  <c r="F169" i="12"/>
  <c r="F168" i="12"/>
  <c r="E175" i="12"/>
  <c r="E174" i="12"/>
  <c r="E173" i="12"/>
  <c r="E170" i="12"/>
  <c r="E169" i="12"/>
  <c r="E168" i="12"/>
  <c r="D179" i="12"/>
  <c r="D178" i="12"/>
  <c r="D177" i="12"/>
  <c r="D176" i="12"/>
  <c r="D172" i="12"/>
  <c r="D171" i="12"/>
  <c r="D170" i="12"/>
  <c r="C179" i="12"/>
  <c r="C178" i="12"/>
  <c r="C177" i="12"/>
  <c r="C176" i="12"/>
  <c r="C172" i="12"/>
  <c r="C171" i="12"/>
  <c r="C170" i="12"/>
  <c r="M109" i="12"/>
  <c r="L109" i="12"/>
  <c r="K109" i="12"/>
  <c r="J112" i="12"/>
  <c r="I112" i="12"/>
  <c r="H112" i="12"/>
  <c r="G109" i="12"/>
  <c r="F109" i="12"/>
  <c r="D112" i="12"/>
  <c r="C112" i="12"/>
  <c r="B120" i="12"/>
  <c r="M123" i="12"/>
  <c r="M182" i="12"/>
  <c r="P223" i="12"/>
  <c r="M223" i="12"/>
  <c r="P220" i="12"/>
  <c r="M220" i="12"/>
  <c r="P214" i="12"/>
  <c r="M214" i="12"/>
  <c r="P211" i="12"/>
  <c r="M211" i="12"/>
  <c r="P205" i="12"/>
  <c r="M205" i="12"/>
  <c r="P202" i="12"/>
  <c r="M202" i="12"/>
  <c r="O222" i="12"/>
  <c r="L222" i="12"/>
  <c r="O219" i="12"/>
  <c r="L219" i="12"/>
  <c r="O213" i="12"/>
  <c r="O210" i="12"/>
  <c r="B216" i="12"/>
  <c r="B217" i="12"/>
  <c r="B208" i="12"/>
  <c r="B207" i="12"/>
  <c r="H216" i="12"/>
  <c r="J216" i="12"/>
  <c r="H217" i="12"/>
  <c r="H207" i="12"/>
  <c r="J207" i="12"/>
  <c r="H208" i="12"/>
  <c r="F199" i="12"/>
  <c r="B199" i="12"/>
  <c r="B198" i="12"/>
  <c r="H198" i="12"/>
  <c r="J198" i="12"/>
  <c r="H199" i="12"/>
  <c r="P145" i="12"/>
  <c r="M145" i="12"/>
  <c r="P142" i="12"/>
  <c r="M142" i="12"/>
  <c r="B156" i="12"/>
  <c r="B147" i="12"/>
  <c r="J156" i="12"/>
  <c r="H147" i="12"/>
  <c r="H148" i="12"/>
  <c r="F139" i="12"/>
  <c r="B139" i="12"/>
  <c r="B138" i="12"/>
  <c r="H138" i="12"/>
  <c r="J138" i="12"/>
  <c r="H139" i="12"/>
  <c r="P87" i="12"/>
  <c r="M87" i="12"/>
  <c r="P84" i="12"/>
  <c r="M84" i="12"/>
  <c r="F81" i="12"/>
  <c r="B81" i="12"/>
  <c r="B80" i="12"/>
  <c r="H80" i="12"/>
  <c r="J80" i="12"/>
  <c r="H81" i="12"/>
  <c r="V30" i="12"/>
  <c r="T26" i="12"/>
  <c r="S27" i="12"/>
  <c r="W29" i="12"/>
  <c r="F21" i="12"/>
  <c r="W14" i="12"/>
  <c r="J23" i="12"/>
  <c r="H24" i="12"/>
  <c r="H23" i="12"/>
  <c r="E54" i="12"/>
  <c r="F54" i="12"/>
  <c r="G54" i="12"/>
  <c r="K54" i="12"/>
  <c r="L54" i="12"/>
  <c r="M54" i="12"/>
  <c r="C56" i="12"/>
  <c r="D56" i="12"/>
  <c r="H56" i="12"/>
  <c r="I56" i="12"/>
  <c r="J56" i="12"/>
  <c r="C57" i="12"/>
  <c r="D57" i="12"/>
  <c r="H57" i="12"/>
  <c r="I57" i="12"/>
  <c r="J57" i="12"/>
  <c r="E58" i="12"/>
  <c r="F58" i="12"/>
  <c r="G58" i="12"/>
  <c r="E59" i="12"/>
  <c r="F59" i="12"/>
  <c r="G59" i="12"/>
  <c r="E60" i="12"/>
  <c r="F60" i="12"/>
  <c r="G60" i="12"/>
  <c r="C61" i="12"/>
  <c r="D61" i="12"/>
  <c r="C62" i="12"/>
  <c r="D62" i="12"/>
  <c r="C63" i="12"/>
  <c r="D63" i="12"/>
  <c r="B62" i="12"/>
  <c r="B61" i="12"/>
  <c r="B57" i="12"/>
  <c r="B56" i="12"/>
  <c r="B55" i="12"/>
  <c r="J24" i="12"/>
  <c r="F24" i="12"/>
  <c r="B23" i="12"/>
  <c r="M53" i="12"/>
  <c r="L53" i="12"/>
  <c r="K53" i="12"/>
  <c r="J55" i="12"/>
  <c r="I55" i="12"/>
  <c r="H55" i="12"/>
  <c r="G53" i="12"/>
  <c r="F53" i="12"/>
  <c r="E53" i="12"/>
  <c r="D55" i="12"/>
  <c r="C55" i="12"/>
  <c r="B32" i="12"/>
  <c r="C36" i="12" s="1"/>
  <c r="E52" i="12"/>
  <c r="F52" i="12"/>
  <c r="G52" i="12"/>
  <c r="K52" i="12"/>
  <c r="L52" i="12"/>
  <c r="M52" i="12"/>
  <c r="H156" i="12" l="1"/>
  <c r="L210" i="12"/>
  <c r="H157" i="12"/>
  <c r="J147" i="12"/>
  <c r="J42" i="12"/>
  <c r="F42" i="12"/>
  <c r="J41" i="12"/>
  <c r="B41" i="12"/>
  <c r="W48" i="12" s="1"/>
  <c r="H42" i="12"/>
  <c r="H41" i="12"/>
  <c r="B42" i="12"/>
  <c r="E40" i="12"/>
  <c r="Q39" i="12"/>
  <c r="E37" i="12"/>
  <c r="L60" i="12" s="1"/>
  <c r="Q36" i="12"/>
  <c r="N39" i="12"/>
  <c r="N36" i="12"/>
  <c r="P40" i="12"/>
  <c r="B40" i="12"/>
  <c r="I63" i="12" s="1"/>
  <c r="F39" i="12"/>
  <c r="P37" i="12"/>
  <c r="B37" i="12"/>
  <c r="F36" i="12"/>
  <c r="M59" i="12" s="1"/>
  <c r="C39" i="12"/>
  <c r="J62" i="12" s="1"/>
  <c r="M37" i="12"/>
  <c r="M40" i="12"/>
  <c r="H33" i="12"/>
  <c r="F33" i="12"/>
  <c r="J33" i="12"/>
  <c r="B38" i="12" s="1"/>
  <c r="I61" i="12" s="1"/>
  <c r="H32" i="12"/>
  <c r="B33" i="12"/>
  <c r="A40" i="12" s="1"/>
  <c r="H63" i="12" s="1"/>
  <c r="J148" i="12"/>
  <c r="F148" i="12"/>
  <c r="B150" i="12" s="1"/>
  <c r="J157" i="12"/>
  <c r="B159" i="12" s="1"/>
  <c r="F157" i="12"/>
  <c r="N206" i="12"/>
  <c r="C206" i="12"/>
  <c r="F235" i="12" s="1"/>
  <c r="Q203" i="12"/>
  <c r="F203" i="12"/>
  <c r="J231" i="12" s="1"/>
  <c r="P206" i="12"/>
  <c r="M206" i="12"/>
  <c r="E206" i="12"/>
  <c r="D206" i="12"/>
  <c r="B206" i="12"/>
  <c r="C235" i="12" s="1"/>
  <c r="A206" i="12"/>
  <c r="B235" i="12" s="1"/>
  <c r="Q205" i="12"/>
  <c r="N205" i="12"/>
  <c r="F205" i="12"/>
  <c r="C205" i="12"/>
  <c r="F234" i="12" s="1"/>
  <c r="F204" i="12"/>
  <c r="C204" i="12"/>
  <c r="F233" i="12" s="1"/>
  <c r="P203" i="12"/>
  <c r="M203" i="12"/>
  <c r="E203" i="12"/>
  <c r="D203" i="12"/>
  <c r="H231" i="12" s="1"/>
  <c r="B203" i="12"/>
  <c r="C231" i="12" s="1"/>
  <c r="A203" i="12"/>
  <c r="B231" i="12" s="1"/>
  <c r="Q202" i="12"/>
  <c r="N202" i="12"/>
  <c r="AE202" i="12" s="1"/>
  <c r="F202" i="12"/>
  <c r="J228" i="12" s="1"/>
  <c r="C202" i="12"/>
  <c r="F228" i="12" s="1"/>
  <c r="F201" i="12"/>
  <c r="J227" i="12" s="1"/>
  <c r="C201" i="12"/>
  <c r="F227" i="12" s="1"/>
  <c r="Q206" i="12"/>
  <c r="F206" i="12"/>
  <c r="N203" i="12"/>
  <c r="C203" i="12"/>
  <c r="F231" i="12" s="1"/>
  <c r="W205" i="12"/>
  <c r="V204" i="12"/>
  <c r="AC202" i="12" s="1"/>
  <c r="T202" i="12"/>
  <c r="S201" i="12"/>
  <c r="V205" i="12"/>
  <c r="W204" i="12"/>
  <c r="S202" i="12"/>
  <c r="T201" i="12"/>
  <c r="E205" i="12"/>
  <c r="D205" i="12"/>
  <c r="B205" i="12"/>
  <c r="C234" i="12" s="1"/>
  <c r="A205" i="12"/>
  <c r="B234" i="12" s="1"/>
  <c r="O204" i="12"/>
  <c r="L204" i="12"/>
  <c r="E204" i="12"/>
  <c r="D204" i="12"/>
  <c r="B204" i="12"/>
  <c r="C233" i="12" s="1"/>
  <c r="A204" i="12"/>
  <c r="B233" i="12" s="1"/>
  <c r="E202" i="12"/>
  <c r="I228" i="12" s="1"/>
  <c r="D202" i="12"/>
  <c r="H228" i="12" s="1"/>
  <c r="B202" i="12"/>
  <c r="C228" i="12" s="1"/>
  <c r="A202" i="12"/>
  <c r="B228" i="12" s="1"/>
  <c r="O201" i="12"/>
  <c r="L201" i="12"/>
  <c r="E201" i="12"/>
  <c r="I227" i="12" s="1"/>
  <c r="D201" i="12"/>
  <c r="H227" i="12" s="1"/>
  <c r="B201" i="12"/>
  <c r="C227" i="12" s="1"/>
  <c r="A201" i="12"/>
  <c r="B227" i="12" s="1"/>
  <c r="N215" i="12"/>
  <c r="C215" i="12"/>
  <c r="J239" i="12" s="1"/>
  <c r="Q212" i="12"/>
  <c r="F212" i="12"/>
  <c r="N235" i="12" s="1"/>
  <c r="P215" i="12"/>
  <c r="M215" i="12"/>
  <c r="E215" i="12"/>
  <c r="L239" i="12" s="1"/>
  <c r="D215" i="12"/>
  <c r="K239" i="12" s="1"/>
  <c r="B215" i="12"/>
  <c r="I239" i="12" s="1"/>
  <c r="A215" i="12"/>
  <c r="H239" i="12" s="1"/>
  <c r="Q214" i="12"/>
  <c r="N214" i="12"/>
  <c r="F214" i="12"/>
  <c r="N237" i="12" s="1"/>
  <c r="C214" i="12"/>
  <c r="J237" i="12" s="1"/>
  <c r="F213" i="12"/>
  <c r="N236" i="12" s="1"/>
  <c r="C213" i="12"/>
  <c r="J236" i="12" s="1"/>
  <c r="P212" i="12"/>
  <c r="M212" i="12"/>
  <c r="E212" i="12"/>
  <c r="L235" i="12" s="1"/>
  <c r="D212" i="12"/>
  <c r="K235" i="12" s="1"/>
  <c r="B212" i="12"/>
  <c r="A212" i="12"/>
  <c r="Q211" i="12"/>
  <c r="N211" i="12"/>
  <c r="AE211" i="12" s="1"/>
  <c r="F211" i="12"/>
  <c r="N234" i="12" s="1"/>
  <c r="C211" i="12"/>
  <c r="F210" i="12"/>
  <c r="N233" i="12" s="1"/>
  <c r="C210" i="12"/>
  <c r="Q215" i="12"/>
  <c r="F215" i="12"/>
  <c r="N239" i="12" s="1"/>
  <c r="N212" i="12"/>
  <c r="C212" i="12"/>
  <c r="N224" i="12"/>
  <c r="C224" i="12"/>
  <c r="M232" i="12" s="1"/>
  <c r="Q221" i="12"/>
  <c r="F221" i="12"/>
  <c r="G238" i="12" s="1"/>
  <c r="P224" i="12"/>
  <c r="M224" i="12"/>
  <c r="E224" i="12"/>
  <c r="E232" i="12" s="1"/>
  <c r="D224" i="12"/>
  <c r="D232" i="12" s="1"/>
  <c r="B224" i="12"/>
  <c r="L232" i="12" s="1"/>
  <c r="A224" i="12"/>
  <c r="K232" i="12" s="1"/>
  <c r="Q223" i="12"/>
  <c r="N223" i="12"/>
  <c r="AE223" i="12" s="1"/>
  <c r="F223" i="12"/>
  <c r="G230" i="12" s="1"/>
  <c r="C223" i="12"/>
  <c r="M230" i="12" s="1"/>
  <c r="F222" i="12"/>
  <c r="G229" i="12" s="1"/>
  <c r="C222" i="12"/>
  <c r="M229" i="12" s="1"/>
  <c r="P221" i="12"/>
  <c r="M221" i="12"/>
  <c r="E221" i="12"/>
  <c r="E238" i="12" s="1"/>
  <c r="D221" i="12"/>
  <c r="D238" i="12" s="1"/>
  <c r="B221" i="12"/>
  <c r="L238" i="12" s="1"/>
  <c r="A221" i="12"/>
  <c r="K238" i="12" s="1"/>
  <c r="Q220" i="12"/>
  <c r="N220" i="12"/>
  <c r="AE220" i="12" s="1"/>
  <c r="F220" i="12"/>
  <c r="G237" i="12" s="1"/>
  <c r="C220" i="12"/>
  <c r="M237" i="12" s="1"/>
  <c r="F219" i="12"/>
  <c r="G236" i="12" s="1"/>
  <c r="C219" i="12"/>
  <c r="M236" i="12" s="1"/>
  <c r="Q224" i="12"/>
  <c r="F224" i="12"/>
  <c r="G232" i="12" s="1"/>
  <c r="D243" i="12" s="1"/>
  <c r="N221" i="12"/>
  <c r="C221" i="12"/>
  <c r="M238" i="12" s="1"/>
  <c r="W214" i="12"/>
  <c r="V213" i="12"/>
  <c r="AC210" i="12" s="1"/>
  <c r="T211" i="12"/>
  <c r="S210" i="12"/>
  <c r="Z213" i="12" s="1"/>
  <c r="V214" i="12"/>
  <c r="W213" i="12"/>
  <c r="AD213" i="12" s="1"/>
  <c r="S211" i="12"/>
  <c r="T210" i="12"/>
  <c r="AA210" i="12" s="1"/>
  <c r="V223" i="12"/>
  <c r="W222" i="12"/>
  <c r="AD222" i="12" s="1"/>
  <c r="S220" i="12"/>
  <c r="T219" i="12"/>
  <c r="AA219" i="12" s="1"/>
  <c r="W223" i="12"/>
  <c r="V222" i="12"/>
  <c r="AC219" i="12" s="1"/>
  <c r="T220" i="12"/>
  <c r="S219" i="12"/>
  <c r="Z219" i="12" s="1"/>
  <c r="AE210" i="12"/>
  <c r="AD210" i="12"/>
  <c r="AB210" i="12"/>
  <c r="Z210" i="12"/>
  <c r="AE213" i="12"/>
  <c r="AB213" i="12"/>
  <c r="AE219" i="12"/>
  <c r="AB219" i="12"/>
  <c r="AE222" i="12"/>
  <c r="AB222" i="12"/>
  <c r="Z222" i="12"/>
  <c r="AD202" i="12"/>
  <c r="AE205" i="12"/>
  <c r="AB205" i="12"/>
  <c r="AD211" i="12"/>
  <c r="AE214" i="12"/>
  <c r="AB214" i="12"/>
  <c r="AB223" i="12"/>
  <c r="A210" i="12"/>
  <c r="B210" i="12"/>
  <c r="D210" i="12"/>
  <c r="K233" i="12" s="1"/>
  <c r="E210" i="12"/>
  <c r="L233" i="12" s="1"/>
  <c r="A211" i="12"/>
  <c r="B211" i="12"/>
  <c r="D211" i="12"/>
  <c r="K234" i="12" s="1"/>
  <c r="E211" i="12"/>
  <c r="L234" i="12" s="1"/>
  <c r="A213" i="12"/>
  <c r="H236" i="12" s="1"/>
  <c r="B213" i="12"/>
  <c r="I236" i="12" s="1"/>
  <c r="D213" i="12"/>
  <c r="E213" i="12"/>
  <c r="L236" i="12" s="1"/>
  <c r="A214" i="12"/>
  <c r="H237" i="12" s="1"/>
  <c r="B214" i="12"/>
  <c r="I237" i="12" s="1"/>
  <c r="D214" i="12"/>
  <c r="E214" i="12"/>
  <c r="A219" i="12"/>
  <c r="B219" i="12"/>
  <c r="D219" i="12"/>
  <c r="D236" i="12" s="1"/>
  <c r="E219" i="12"/>
  <c r="E236" i="12" s="1"/>
  <c r="A220" i="12"/>
  <c r="B220" i="12"/>
  <c r="D220" i="12"/>
  <c r="D237" i="12" s="1"/>
  <c r="E220" i="12"/>
  <c r="E237" i="12" s="1"/>
  <c r="A222" i="12"/>
  <c r="K229" i="12" s="1"/>
  <c r="B222" i="12"/>
  <c r="L229" i="12" s="1"/>
  <c r="D222" i="12"/>
  <c r="D229" i="12" s="1"/>
  <c r="E222" i="12"/>
  <c r="E229" i="12" s="1"/>
  <c r="A223" i="12"/>
  <c r="K230" i="12" s="1"/>
  <c r="B223" i="12"/>
  <c r="L230" i="12" s="1"/>
  <c r="D223" i="12"/>
  <c r="D230" i="12" s="1"/>
  <c r="E223" i="12"/>
  <c r="E230" i="12" s="1"/>
  <c r="N146" i="12"/>
  <c r="C146" i="12"/>
  <c r="D175" i="12" s="1"/>
  <c r="Q143" i="12"/>
  <c r="F143" i="12"/>
  <c r="J169" i="12" s="1"/>
  <c r="P146" i="12"/>
  <c r="M146" i="12"/>
  <c r="E146" i="12"/>
  <c r="D146" i="12"/>
  <c r="B146" i="12"/>
  <c r="C175" i="12" s="1"/>
  <c r="A146" i="12"/>
  <c r="B175" i="12" s="1"/>
  <c r="Q145" i="12"/>
  <c r="N145" i="12"/>
  <c r="AE145" i="12" s="1"/>
  <c r="F145" i="12"/>
  <c r="C145" i="12"/>
  <c r="D174" i="12" s="1"/>
  <c r="F144" i="12"/>
  <c r="C144" i="12"/>
  <c r="D173" i="12" s="1"/>
  <c r="P143" i="12"/>
  <c r="M143" i="12"/>
  <c r="E143" i="12"/>
  <c r="I169" i="12" s="1"/>
  <c r="D143" i="12"/>
  <c r="H169" i="12" s="1"/>
  <c r="B143" i="12"/>
  <c r="C169" i="12" s="1"/>
  <c r="A143" i="12"/>
  <c r="B169" i="12" s="1"/>
  <c r="Q142" i="12"/>
  <c r="N142" i="12"/>
  <c r="AE142" i="12" s="1"/>
  <c r="F142" i="12"/>
  <c r="J168" i="12" s="1"/>
  <c r="C142" i="12"/>
  <c r="D168" i="12" s="1"/>
  <c r="F141" i="12"/>
  <c r="J167" i="12" s="1"/>
  <c r="C141" i="12"/>
  <c r="D167" i="12" s="1"/>
  <c r="Q146" i="12"/>
  <c r="F146" i="12"/>
  <c r="N143" i="12"/>
  <c r="C143" i="12"/>
  <c r="D169" i="12" s="1"/>
  <c r="W145" i="12"/>
  <c r="V144" i="12"/>
  <c r="T142" i="12"/>
  <c r="S141" i="12"/>
  <c r="V145" i="12"/>
  <c r="W144" i="12"/>
  <c r="S142" i="12"/>
  <c r="T141" i="12"/>
  <c r="E145" i="12"/>
  <c r="D145" i="12"/>
  <c r="B145" i="12"/>
  <c r="C174" i="12" s="1"/>
  <c r="A145" i="12"/>
  <c r="B174" i="12" s="1"/>
  <c r="O144" i="12"/>
  <c r="L144" i="12"/>
  <c r="E144" i="12"/>
  <c r="D144" i="12"/>
  <c r="B144" i="12"/>
  <c r="C173" i="12" s="1"/>
  <c r="A144" i="12"/>
  <c r="B173" i="12" s="1"/>
  <c r="E142" i="12"/>
  <c r="I168" i="12" s="1"/>
  <c r="D142" i="12"/>
  <c r="H168" i="12" s="1"/>
  <c r="B142" i="12"/>
  <c r="C168" i="12" s="1"/>
  <c r="A142" i="12"/>
  <c r="B168" i="12" s="1"/>
  <c r="O141" i="12"/>
  <c r="L141" i="12"/>
  <c r="E141" i="12"/>
  <c r="I167" i="12" s="1"/>
  <c r="D141" i="12"/>
  <c r="H167" i="12" s="1"/>
  <c r="B141" i="12"/>
  <c r="C167" i="12" s="1"/>
  <c r="A141" i="12"/>
  <c r="B167" i="12" s="1"/>
  <c r="N155" i="12"/>
  <c r="C155" i="12"/>
  <c r="J179" i="12" s="1"/>
  <c r="Q152" i="12"/>
  <c r="F152" i="12"/>
  <c r="N175" i="12" s="1"/>
  <c r="P155" i="12"/>
  <c r="M155" i="12"/>
  <c r="E155" i="12"/>
  <c r="L179" i="12" s="1"/>
  <c r="D155" i="12"/>
  <c r="K179" i="12" s="1"/>
  <c r="B155" i="12"/>
  <c r="I179" i="12" s="1"/>
  <c r="A155" i="12"/>
  <c r="H179" i="12" s="1"/>
  <c r="Q154" i="12"/>
  <c r="N154" i="12"/>
  <c r="F154" i="12"/>
  <c r="N177" i="12" s="1"/>
  <c r="C154" i="12"/>
  <c r="J177" i="12" s="1"/>
  <c r="F153" i="12"/>
  <c r="N176" i="12" s="1"/>
  <c r="C153" i="12"/>
  <c r="J176" i="12" s="1"/>
  <c r="P152" i="12"/>
  <c r="M152" i="12"/>
  <c r="E152" i="12"/>
  <c r="L175" i="12" s="1"/>
  <c r="D152" i="12"/>
  <c r="K175" i="12" s="1"/>
  <c r="B152" i="12"/>
  <c r="A152" i="12"/>
  <c r="Q151" i="12"/>
  <c r="N151" i="12"/>
  <c r="F151" i="12"/>
  <c r="N174" i="12" s="1"/>
  <c r="C151" i="12"/>
  <c r="F150" i="12"/>
  <c r="N173" i="12" s="1"/>
  <c r="C150" i="12"/>
  <c r="Q155" i="12"/>
  <c r="F155" i="12"/>
  <c r="N179" i="12" s="1"/>
  <c r="N152" i="12"/>
  <c r="C152" i="12"/>
  <c r="N164" i="12"/>
  <c r="C164" i="12"/>
  <c r="M172" i="12" s="1"/>
  <c r="Q161" i="12"/>
  <c r="F161" i="12"/>
  <c r="G178" i="12" s="1"/>
  <c r="P164" i="12"/>
  <c r="M164" i="12"/>
  <c r="E164" i="12"/>
  <c r="F172" i="12" s="1"/>
  <c r="D164" i="12"/>
  <c r="E172" i="12" s="1"/>
  <c r="B164" i="12"/>
  <c r="L172" i="12" s="1"/>
  <c r="A164" i="12"/>
  <c r="K172" i="12" s="1"/>
  <c r="Q163" i="12"/>
  <c r="N163" i="12"/>
  <c r="F163" i="12"/>
  <c r="C163" i="12"/>
  <c r="F162" i="12"/>
  <c r="C162" i="12"/>
  <c r="P161" i="12"/>
  <c r="M161" i="12"/>
  <c r="E161" i="12"/>
  <c r="F178" i="12" s="1"/>
  <c r="D161" i="12"/>
  <c r="E178" i="12" s="1"/>
  <c r="B161" i="12"/>
  <c r="L178" i="12" s="1"/>
  <c r="A161" i="12"/>
  <c r="K178" i="12" s="1"/>
  <c r="Q160" i="12"/>
  <c r="N160" i="12"/>
  <c r="F160" i="12"/>
  <c r="G177" i="12" s="1"/>
  <c r="C160" i="12"/>
  <c r="M177" i="12" s="1"/>
  <c r="F159" i="12"/>
  <c r="G176" i="12" s="1"/>
  <c r="C159" i="12"/>
  <c r="M176" i="12" s="1"/>
  <c r="Q164" i="12"/>
  <c r="F164" i="12"/>
  <c r="G172" i="12" s="1"/>
  <c r="N161" i="12"/>
  <c r="C161" i="12"/>
  <c r="M178" i="12" s="1"/>
  <c r="W154" i="12"/>
  <c r="V153" i="12"/>
  <c r="T151" i="12"/>
  <c r="S150" i="12"/>
  <c r="V154" i="12"/>
  <c r="W153" i="12"/>
  <c r="S151" i="12"/>
  <c r="T150" i="12"/>
  <c r="V163" i="12"/>
  <c r="W162" i="12"/>
  <c r="S160" i="12"/>
  <c r="T159" i="12"/>
  <c r="W163" i="12"/>
  <c r="V162" i="12"/>
  <c r="T160" i="12"/>
  <c r="S159" i="12"/>
  <c r="AB142" i="12"/>
  <c r="AB145" i="12"/>
  <c r="D150" i="12"/>
  <c r="K173" i="12" s="1"/>
  <c r="B151" i="12"/>
  <c r="E151" i="12"/>
  <c r="L174" i="12" s="1"/>
  <c r="D153" i="12"/>
  <c r="B154" i="12"/>
  <c r="I177" i="12" s="1"/>
  <c r="E154" i="12"/>
  <c r="D159" i="12"/>
  <c r="E176" i="12" s="1"/>
  <c r="B160" i="12"/>
  <c r="E160" i="12"/>
  <c r="F177" i="12" s="1"/>
  <c r="D162" i="12"/>
  <c r="B163" i="12"/>
  <c r="E163" i="12"/>
  <c r="F171" i="12" s="1"/>
  <c r="N88" i="12"/>
  <c r="C88" i="12"/>
  <c r="Q85" i="12"/>
  <c r="F85" i="12"/>
  <c r="J111" i="12" s="1"/>
  <c r="P88" i="12"/>
  <c r="M88" i="12"/>
  <c r="E88" i="12"/>
  <c r="D88" i="12"/>
  <c r="B88" i="12"/>
  <c r="A88" i="12"/>
  <c r="Q87" i="12"/>
  <c r="AB87" i="12" s="1"/>
  <c r="N87" i="12"/>
  <c r="F87" i="12"/>
  <c r="C87" i="12"/>
  <c r="F86" i="12"/>
  <c r="C86" i="12"/>
  <c r="P85" i="12"/>
  <c r="M85" i="12"/>
  <c r="E85" i="12"/>
  <c r="I111" i="12" s="1"/>
  <c r="D85" i="12"/>
  <c r="H111" i="12" s="1"/>
  <c r="B85" i="12"/>
  <c r="C111" i="12" s="1"/>
  <c r="A85" i="12"/>
  <c r="B111" i="12" s="1"/>
  <c r="Q84" i="12"/>
  <c r="N84" i="12"/>
  <c r="F84" i="12"/>
  <c r="J110" i="12" s="1"/>
  <c r="C84" i="12"/>
  <c r="D110" i="12" s="1"/>
  <c r="F83" i="12"/>
  <c r="J109" i="12" s="1"/>
  <c r="C83" i="12"/>
  <c r="D109" i="12" s="1"/>
  <c r="Q88" i="12"/>
  <c r="F88" i="12"/>
  <c r="N85" i="12"/>
  <c r="C85" i="12"/>
  <c r="D111" i="12" s="1"/>
  <c r="W87" i="12"/>
  <c r="V86" i="12"/>
  <c r="T84" i="12"/>
  <c r="S83" i="12"/>
  <c r="V87" i="12"/>
  <c r="W86" i="12"/>
  <c r="AD87" i="12" s="1"/>
  <c r="S84" i="12"/>
  <c r="T83" i="12"/>
  <c r="E87" i="12"/>
  <c r="D87" i="12"/>
  <c r="B87" i="12"/>
  <c r="A87" i="12"/>
  <c r="O86" i="12"/>
  <c r="L86" i="12"/>
  <c r="E86" i="12"/>
  <c r="D86" i="12"/>
  <c r="B86" i="12"/>
  <c r="A86" i="12"/>
  <c r="E84" i="12"/>
  <c r="I110" i="12" s="1"/>
  <c r="D84" i="12"/>
  <c r="H110" i="12" s="1"/>
  <c r="B84" i="12"/>
  <c r="C110" i="12" s="1"/>
  <c r="A84" i="12"/>
  <c r="B110" i="12" s="1"/>
  <c r="O83" i="12"/>
  <c r="L83" i="12"/>
  <c r="E83" i="12"/>
  <c r="I109" i="12" s="1"/>
  <c r="D83" i="12"/>
  <c r="H109" i="12" s="1"/>
  <c r="B83" i="12"/>
  <c r="C109" i="12" s="1"/>
  <c r="A83" i="12"/>
  <c r="B109" i="12" s="1"/>
  <c r="W30" i="12"/>
  <c r="S26" i="12"/>
  <c r="T27" i="12"/>
  <c r="V29" i="12"/>
  <c r="V48" i="12"/>
  <c r="T44" i="12"/>
  <c r="S45" i="12"/>
  <c r="W47" i="12"/>
  <c r="T35" i="12"/>
  <c r="W38" i="12"/>
  <c r="S44" i="12"/>
  <c r="V47" i="12"/>
  <c r="D48" i="12"/>
  <c r="O47" i="12"/>
  <c r="E47" i="12"/>
  <c r="A47" i="12"/>
  <c r="B45" i="12"/>
  <c r="O44" i="12"/>
  <c r="E44" i="12"/>
  <c r="B44" i="12"/>
  <c r="W39" i="12"/>
  <c r="S35" i="12"/>
  <c r="T36" i="12"/>
  <c r="V38" i="12"/>
  <c r="D39" i="12"/>
  <c r="O38" i="12"/>
  <c r="L38" i="12"/>
  <c r="E38" i="12"/>
  <c r="L61" i="12" s="1"/>
  <c r="A38" i="12"/>
  <c r="H61" i="12" s="1"/>
  <c r="B36" i="12"/>
  <c r="O35" i="12"/>
  <c r="L35" i="12"/>
  <c r="E35" i="12"/>
  <c r="L58" i="12" s="1"/>
  <c r="B35" i="12"/>
  <c r="AB220" i="12" l="1"/>
  <c r="AD219" i="12"/>
  <c r="AE87" i="12"/>
  <c r="AC142" i="12"/>
  <c r="AD214" i="12"/>
  <c r="AD205" i="12"/>
  <c r="E48" i="12"/>
  <c r="AC84" i="12"/>
  <c r="D37" i="12"/>
  <c r="K60" i="12" s="1"/>
  <c r="F35" i="12"/>
  <c r="M58" i="12" s="1"/>
  <c r="D35" i="12"/>
  <c r="K58" i="12" s="1"/>
  <c r="A36" i="12"/>
  <c r="E36" i="12"/>
  <c r="L59" i="12" s="1"/>
  <c r="B39" i="12"/>
  <c r="I62" i="12" s="1"/>
  <c r="E39" i="12"/>
  <c r="L62" i="12" s="1"/>
  <c r="D44" i="12"/>
  <c r="L44" i="12"/>
  <c r="AE44" i="12" s="1"/>
  <c r="A45" i="12"/>
  <c r="K62" i="12" s="1"/>
  <c r="E45" i="12"/>
  <c r="F119" i="12" s="1"/>
  <c r="B47" i="12"/>
  <c r="L47" i="12"/>
  <c r="AE47" i="12" s="1"/>
  <c r="B48" i="12"/>
  <c r="T45" i="12"/>
  <c r="S36" i="12"/>
  <c r="V39" i="12"/>
  <c r="AC35" i="12" s="1"/>
  <c r="AC87" i="12"/>
  <c r="AB84" i="12"/>
  <c r="D163" i="12"/>
  <c r="E171" i="12" s="1"/>
  <c r="E162" i="12"/>
  <c r="B162" i="12"/>
  <c r="D160" i="12"/>
  <c r="E177" i="12" s="1"/>
  <c r="E159" i="12"/>
  <c r="F176" i="12" s="1"/>
  <c r="D154" i="12"/>
  <c r="E153" i="12"/>
  <c r="L176" i="12" s="1"/>
  <c r="B153" i="12"/>
  <c r="I176" i="12" s="1"/>
  <c r="D151" i="12"/>
  <c r="K174" i="12" s="1"/>
  <c r="E150" i="12"/>
  <c r="L173" i="12" s="1"/>
  <c r="AD145" i="12"/>
  <c r="AD142" i="12"/>
  <c r="AD223" i="12"/>
  <c r="AD220" i="12"/>
  <c r="AB211" i="12"/>
  <c r="AB202" i="12"/>
  <c r="AA222" i="12"/>
  <c r="AA213" i="12"/>
  <c r="A37" i="12"/>
  <c r="AD84" i="12"/>
  <c r="AI219" i="12"/>
  <c r="G196" i="12" s="1"/>
  <c r="D250" i="12"/>
  <c r="M160" i="12"/>
  <c r="P163" i="12"/>
  <c r="M163" i="12"/>
  <c r="P160" i="12"/>
  <c r="L150" i="12"/>
  <c r="O153" i="12"/>
  <c r="L153" i="12"/>
  <c r="O150" i="12"/>
  <c r="P36" i="12"/>
  <c r="M36" i="12"/>
  <c r="P39" i="12"/>
  <c r="M39" i="12"/>
  <c r="Q46" i="12"/>
  <c r="F46" i="12"/>
  <c r="G63" i="12" s="1"/>
  <c r="N49" i="12"/>
  <c r="C49" i="12"/>
  <c r="M57" i="12" s="1"/>
  <c r="P45" i="12"/>
  <c r="M45" i="12"/>
  <c r="P48" i="12"/>
  <c r="M48" i="12"/>
  <c r="A35" i="12"/>
  <c r="D36" i="12"/>
  <c r="K59" i="12" s="1"/>
  <c r="D38" i="12"/>
  <c r="A39" i="12"/>
  <c r="H62" i="12" s="1"/>
  <c r="A44" i="12"/>
  <c r="D45" i="12"/>
  <c r="E119" i="12" s="1"/>
  <c r="D47" i="12"/>
  <c r="E55" i="12" s="1"/>
  <c r="A48" i="12"/>
  <c r="K113" i="12" s="1"/>
  <c r="AE84" i="12"/>
  <c r="A163" i="12"/>
  <c r="K171" i="12" s="1"/>
  <c r="A162" i="12"/>
  <c r="A160" i="12"/>
  <c r="A159" i="12"/>
  <c r="A154" i="12"/>
  <c r="H177" i="12" s="1"/>
  <c r="A153" i="12"/>
  <c r="H176" i="12" s="1"/>
  <c r="A151" i="12"/>
  <c r="H174" i="12" s="1"/>
  <c r="A150" i="12"/>
  <c r="AC222" i="12"/>
  <c r="AI222" i="12" s="1"/>
  <c r="J196" i="12" s="1"/>
  <c r="AC213" i="12"/>
  <c r="M151" i="12"/>
  <c r="P154" i="12"/>
  <c r="M154" i="12"/>
  <c r="P151" i="12"/>
  <c r="C38" i="12"/>
  <c r="J61" i="12" s="1"/>
  <c r="D249" i="12"/>
  <c r="D2" i="12"/>
  <c r="C35" i="12"/>
  <c r="J58" i="12" s="1"/>
  <c r="E49" i="12"/>
  <c r="Q48" i="12"/>
  <c r="F47" i="12"/>
  <c r="E46" i="12"/>
  <c r="Q45" i="12"/>
  <c r="F44" i="12"/>
  <c r="G61" i="12" s="1"/>
  <c r="D49" i="12"/>
  <c r="N48" i="12"/>
  <c r="C47" i="12"/>
  <c r="D46" i="12"/>
  <c r="N45" i="12"/>
  <c r="C44" i="12"/>
  <c r="P49" i="12"/>
  <c r="B49" i="12"/>
  <c r="L57" i="12" s="1"/>
  <c r="F48" i="12"/>
  <c r="P46" i="12"/>
  <c r="B46" i="12"/>
  <c r="L63" i="12" s="1"/>
  <c r="F45" i="12"/>
  <c r="G62" i="12" s="1"/>
  <c r="M46" i="12"/>
  <c r="M49" i="12"/>
  <c r="A46" i="12"/>
  <c r="A49" i="12"/>
  <c r="C45" i="12"/>
  <c r="C48" i="12"/>
  <c r="AC145" i="12"/>
  <c r="AC223" i="12"/>
  <c r="AC220" i="12"/>
  <c r="AC214" i="12"/>
  <c r="AC211" i="12"/>
  <c r="AC205" i="12"/>
  <c r="L159" i="12"/>
  <c r="O162" i="12"/>
  <c r="L162" i="12"/>
  <c r="O159" i="12"/>
  <c r="N37" i="12"/>
  <c r="C37" i="12"/>
  <c r="Q40" i="12"/>
  <c r="F40" i="12"/>
  <c r="Q37" i="12"/>
  <c r="F37" i="12"/>
  <c r="M60" i="12" s="1"/>
  <c r="N40" i="12"/>
  <c r="AA40" i="12" s="1"/>
  <c r="C40" i="12"/>
  <c r="J63" i="12" s="1"/>
  <c r="M62" i="12"/>
  <c r="D40" i="12"/>
  <c r="F38" i="12"/>
  <c r="N46" i="12"/>
  <c r="C46" i="12"/>
  <c r="Q49" i="12"/>
  <c r="F49" i="12"/>
  <c r="L171" i="12"/>
  <c r="L231" i="12"/>
  <c r="D182" i="12"/>
  <c r="M171" i="12"/>
  <c r="M231" i="12"/>
  <c r="G171" i="12"/>
  <c r="G231" i="12"/>
  <c r="L237" i="12"/>
  <c r="K237" i="12"/>
  <c r="K236" i="12"/>
  <c r="D247" i="12" s="1"/>
  <c r="H233" i="12"/>
  <c r="I233" i="12"/>
  <c r="H234" i="12"/>
  <c r="I234" i="12"/>
  <c r="J235" i="12"/>
  <c r="J233" i="12"/>
  <c r="J234" i="12"/>
  <c r="H235" i="12"/>
  <c r="I235" i="12"/>
  <c r="L177" i="12"/>
  <c r="K176" i="12"/>
  <c r="D188" i="12"/>
  <c r="D189" i="12"/>
  <c r="H173" i="12"/>
  <c r="I173" i="12"/>
  <c r="I174" i="12"/>
  <c r="J175" i="12"/>
  <c r="J173" i="12"/>
  <c r="J174" i="12"/>
  <c r="H175" i="12"/>
  <c r="I175" i="12"/>
  <c r="D183" i="12"/>
  <c r="Z224" i="12"/>
  <c r="Z223" i="12"/>
  <c r="Z221" i="12"/>
  <c r="Z220" i="12"/>
  <c r="AA224" i="12"/>
  <c r="AA223" i="12"/>
  <c r="AA221" i="12"/>
  <c r="AA220" i="12"/>
  <c r="AA215" i="12"/>
  <c r="AA214" i="12"/>
  <c r="AA212" i="12"/>
  <c r="AA211" i="12"/>
  <c r="Z215" i="12"/>
  <c r="Z214" i="12"/>
  <c r="Z212" i="12"/>
  <c r="Z211" i="12"/>
  <c r="AE221" i="12"/>
  <c r="AD221" i="12"/>
  <c r="AC221" i="12"/>
  <c r="AB221" i="12"/>
  <c r="AE224" i="12"/>
  <c r="AD224" i="12"/>
  <c r="AC224" i="12"/>
  <c r="AB224" i="12"/>
  <c r="AE212" i="12"/>
  <c r="AD212" i="12"/>
  <c r="AC212" i="12"/>
  <c r="AB212" i="12"/>
  <c r="AE215" i="12"/>
  <c r="AD215" i="12"/>
  <c r="AC215" i="12"/>
  <c r="AB215" i="12"/>
  <c r="AE201" i="12"/>
  <c r="AD201" i="12"/>
  <c r="AC201" i="12"/>
  <c r="AB201" i="12"/>
  <c r="AA201" i="12"/>
  <c r="Z201" i="12"/>
  <c r="AE204" i="12"/>
  <c r="AD204" i="12"/>
  <c r="AC204" i="12"/>
  <c r="AB204" i="12"/>
  <c r="AA204" i="12"/>
  <c r="Z204" i="12"/>
  <c r="AA206" i="12"/>
  <c r="AA205" i="12"/>
  <c r="AA203" i="12"/>
  <c r="AA202" i="12"/>
  <c r="Z206" i="12"/>
  <c r="Z205" i="12"/>
  <c r="Z203" i="12"/>
  <c r="Z202" i="12"/>
  <c r="AE203" i="12"/>
  <c r="AD203" i="12"/>
  <c r="AC203" i="12"/>
  <c r="AB203" i="12"/>
  <c r="AE206" i="12"/>
  <c r="AD206" i="12"/>
  <c r="AC206" i="12"/>
  <c r="AB206" i="12"/>
  <c r="E61" i="12"/>
  <c r="E118" i="12"/>
  <c r="F61" i="12"/>
  <c r="F118" i="12"/>
  <c r="E62" i="12"/>
  <c r="F62" i="12"/>
  <c r="K55" i="12"/>
  <c r="K112" i="12"/>
  <c r="L55" i="12"/>
  <c r="L112" i="12"/>
  <c r="F55" i="12"/>
  <c r="F112" i="12"/>
  <c r="K56" i="12"/>
  <c r="L56" i="12"/>
  <c r="L113" i="12"/>
  <c r="E56" i="12"/>
  <c r="E113" i="12"/>
  <c r="F56" i="12"/>
  <c r="F113" i="12"/>
  <c r="Z164" i="12"/>
  <c r="Z161" i="12"/>
  <c r="Z160" i="12"/>
  <c r="AA164" i="12"/>
  <c r="AA161" i="12"/>
  <c r="AA155" i="12"/>
  <c r="AA152" i="12"/>
  <c r="AA151" i="12"/>
  <c r="Z155" i="12"/>
  <c r="Z152" i="12"/>
  <c r="AE161" i="12"/>
  <c r="AD161" i="12"/>
  <c r="AC161" i="12"/>
  <c r="AB161" i="12"/>
  <c r="AE164" i="12"/>
  <c r="AD164" i="12"/>
  <c r="AC164" i="12"/>
  <c r="AB164" i="12"/>
  <c r="AE152" i="12"/>
  <c r="AD152" i="12"/>
  <c r="AC152" i="12"/>
  <c r="AB152" i="12"/>
  <c r="AE155" i="12"/>
  <c r="AD155" i="12"/>
  <c r="AC155" i="12"/>
  <c r="AB155" i="12"/>
  <c r="AE141" i="12"/>
  <c r="AD141" i="12"/>
  <c r="AC141" i="12"/>
  <c r="AB141" i="12"/>
  <c r="AA141" i="12"/>
  <c r="Z141" i="12"/>
  <c r="AE144" i="12"/>
  <c r="AD144" i="12"/>
  <c r="AC144" i="12"/>
  <c r="AB144" i="12"/>
  <c r="AA144" i="12"/>
  <c r="Z144" i="12"/>
  <c r="AA146" i="12"/>
  <c r="AA145" i="12"/>
  <c r="AA143" i="12"/>
  <c r="AA142" i="12"/>
  <c r="Z146" i="12"/>
  <c r="Z145" i="12"/>
  <c r="AI145" i="12" s="1"/>
  <c r="K134" i="12" s="1"/>
  <c r="Z143" i="12"/>
  <c r="Z142" i="12"/>
  <c r="AE143" i="12"/>
  <c r="AD143" i="12"/>
  <c r="AC143" i="12"/>
  <c r="AB143" i="12"/>
  <c r="AE146" i="12"/>
  <c r="AD146" i="12"/>
  <c r="AC146" i="12"/>
  <c r="AB146" i="12"/>
  <c r="F77" i="12"/>
  <c r="F78" i="12"/>
  <c r="B90" i="12"/>
  <c r="AE83" i="12"/>
  <c r="AD83" i="12"/>
  <c r="AC83" i="12"/>
  <c r="AB83" i="12"/>
  <c r="AA83" i="12"/>
  <c r="Z83" i="12"/>
  <c r="AE86" i="12"/>
  <c r="AD86" i="12"/>
  <c r="AC86" i="12"/>
  <c r="AB86" i="12"/>
  <c r="AA86" i="12"/>
  <c r="Z86" i="12"/>
  <c r="AA88" i="12"/>
  <c r="AA87" i="12"/>
  <c r="AA85" i="12"/>
  <c r="AA84" i="12"/>
  <c r="Z88" i="12"/>
  <c r="Z87" i="12"/>
  <c r="AI87" i="12" s="1"/>
  <c r="K76" i="12" s="1"/>
  <c r="Z85" i="12"/>
  <c r="Z84" i="12"/>
  <c r="AE85" i="12"/>
  <c r="AD85" i="12"/>
  <c r="AC85" i="12"/>
  <c r="AB85" i="12"/>
  <c r="AE88" i="12"/>
  <c r="AD88" i="12"/>
  <c r="AC88" i="12"/>
  <c r="AB88" i="12"/>
  <c r="AE35" i="12"/>
  <c r="AD35" i="12"/>
  <c r="AB35" i="12"/>
  <c r="AA35" i="12"/>
  <c r="Z35" i="12"/>
  <c r="AE38" i="12"/>
  <c r="AD38" i="12"/>
  <c r="AB38" i="12"/>
  <c r="AA38" i="12"/>
  <c r="Z38" i="12"/>
  <c r="AD44" i="12"/>
  <c r="AB44" i="12"/>
  <c r="Z44" i="12"/>
  <c r="AD47" i="12"/>
  <c r="AB47" i="12"/>
  <c r="Z47" i="12"/>
  <c r="K177" i="12" l="1"/>
  <c r="D187" i="12" s="1"/>
  <c r="D185" i="12"/>
  <c r="K231" i="12"/>
  <c r="T4" i="12" s="1"/>
  <c r="U4" i="12" s="1"/>
  <c r="Z151" i="12"/>
  <c r="AA160" i="12"/>
  <c r="P10" i="12"/>
  <c r="P7" i="12"/>
  <c r="AA37" i="12"/>
  <c r="AA47" i="12"/>
  <c r="AC47" i="12"/>
  <c r="AA44" i="12"/>
  <c r="AC44" i="12"/>
  <c r="AC38" i="12"/>
  <c r="AI38" i="12" s="1"/>
  <c r="J20" i="12" s="1"/>
  <c r="AI142" i="12"/>
  <c r="H134" i="12" s="1"/>
  <c r="AI144" i="12"/>
  <c r="J134" i="12" s="1"/>
  <c r="D248" i="12"/>
  <c r="M61" i="12"/>
  <c r="M63" i="12"/>
  <c r="D186" i="12"/>
  <c r="K61" i="12"/>
  <c r="Z163" i="12"/>
  <c r="AD36" i="12"/>
  <c r="AC36" i="12"/>
  <c r="AB36" i="12"/>
  <c r="AE36" i="12"/>
  <c r="Z36" i="12"/>
  <c r="AA36" i="12"/>
  <c r="AI84" i="12"/>
  <c r="H76" i="12" s="1"/>
  <c r="AI86" i="12"/>
  <c r="J76" i="12" s="1"/>
  <c r="P4" i="12"/>
  <c r="P8" i="12"/>
  <c r="K63" i="12"/>
  <c r="D71" i="12" s="1"/>
  <c r="AD40" i="12"/>
  <c r="AC40" i="12"/>
  <c r="AB40" i="12"/>
  <c r="AE40" i="12"/>
  <c r="AE162" i="12"/>
  <c r="AA162" i="12"/>
  <c r="AD162" i="12"/>
  <c r="Z162" i="12"/>
  <c r="AC162" i="12"/>
  <c r="AB162" i="12"/>
  <c r="M56" i="12"/>
  <c r="M113" i="12"/>
  <c r="AD49" i="12"/>
  <c r="AC49" i="12"/>
  <c r="AB49" i="12"/>
  <c r="AE49" i="12"/>
  <c r="F63" i="12"/>
  <c r="F120" i="12"/>
  <c r="AD48" i="12"/>
  <c r="AA48" i="12"/>
  <c r="AB48" i="12"/>
  <c r="AE48" i="12"/>
  <c r="AC48" i="12"/>
  <c r="Z48" i="12"/>
  <c r="AC150" i="12"/>
  <c r="AB150" i="12"/>
  <c r="AE150" i="12"/>
  <c r="AA150" i="12"/>
  <c r="AD150" i="12"/>
  <c r="Z150" i="12"/>
  <c r="AC160" i="12"/>
  <c r="AB160" i="12"/>
  <c r="AE160" i="12"/>
  <c r="AD160" i="12"/>
  <c r="Z49" i="12"/>
  <c r="Z37" i="12"/>
  <c r="M55" i="12"/>
  <c r="M112" i="12"/>
  <c r="F57" i="12"/>
  <c r="F114" i="12"/>
  <c r="AC154" i="12"/>
  <c r="AB154" i="12"/>
  <c r="AE154" i="12"/>
  <c r="AD154" i="12"/>
  <c r="AI141" i="12"/>
  <c r="Z154" i="12"/>
  <c r="AA154" i="12"/>
  <c r="AA163" i="12"/>
  <c r="E112" i="12"/>
  <c r="P5" i="12"/>
  <c r="P9" i="12"/>
  <c r="AD46" i="12"/>
  <c r="Z46" i="12"/>
  <c r="AA46" i="12"/>
  <c r="AC46" i="12"/>
  <c r="AB46" i="12"/>
  <c r="AE46" i="12"/>
  <c r="G56" i="12"/>
  <c r="G113" i="12"/>
  <c r="E57" i="12"/>
  <c r="E114" i="12"/>
  <c r="G55" i="12"/>
  <c r="G112" i="12"/>
  <c r="AC151" i="12"/>
  <c r="AB151" i="12"/>
  <c r="AE151" i="12"/>
  <c r="AD151" i="12"/>
  <c r="AD39" i="12"/>
  <c r="AA39" i="12"/>
  <c r="AB39" i="12"/>
  <c r="AE39" i="12"/>
  <c r="AC39" i="12"/>
  <c r="Z39" i="12"/>
  <c r="Z40" i="12"/>
  <c r="G57" i="12"/>
  <c r="G114" i="12"/>
  <c r="AI44" i="12"/>
  <c r="G21" i="12" s="1"/>
  <c r="AI35" i="12"/>
  <c r="G20" i="12" s="1"/>
  <c r="AI83" i="12"/>
  <c r="P6" i="12"/>
  <c r="AD37" i="12"/>
  <c r="AC37" i="12"/>
  <c r="AB37" i="12"/>
  <c r="AE37" i="12"/>
  <c r="AC159" i="12"/>
  <c r="AB159" i="12"/>
  <c r="AE159" i="12"/>
  <c r="AA159" i="12"/>
  <c r="AD159" i="12"/>
  <c r="Z159" i="12"/>
  <c r="K57" i="12"/>
  <c r="K114" i="12"/>
  <c r="E63" i="12"/>
  <c r="E120" i="12"/>
  <c r="D70" i="12"/>
  <c r="AD45" i="12"/>
  <c r="AC45" i="12"/>
  <c r="AB45" i="12"/>
  <c r="AE45" i="12"/>
  <c r="Z45" i="12"/>
  <c r="AA45" i="12"/>
  <c r="AE153" i="12"/>
  <c r="AA153" i="12"/>
  <c r="AD153" i="12"/>
  <c r="Z153" i="12"/>
  <c r="AC153" i="12"/>
  <c r="AB153" i="12"/>
  <c r="AC163" i="12"/>
  <c r="AB163" i="12"/>
  <c r="AE163" i="12"/>
  <c r="AD163" i="12"/>
  <c r="AA49" i="12"/>
  <c r="T3" i="12"/>
  <c r="T6" i="12"/>
  <c r="U6" i="12" s="1"/>
  <c r="T7" i="12"/>
  <c r="U7" i="12" s="1"/>
  <c r="T10" i="12"/>
  <c r="U10" i="12" s="1"/>
  <c r="T11" i="12"/>
  <c r="U11" i="12" s="1"/>
  <c r="D246" i="12"/>
  <c r="D245" i="12"/>
  <c r="D244" i="12"/>
  <c r="U3" i="12"/>
  <c r="B98" i="12"/>
  <c r="F99" i="12"/>
  <c r="J99" i="12"/>
  <c r="H99" i="12"/>
  <c r="J98" i="12"/>
  <c r="H98" i="12"/>
  <c r="B99" i="12"/>
  <c r="AI152" i="12"/>
  <c r="D184" i="12"/>
  <c r="AI220" i="12"/>
  <c r="H196" i="12" s="1"/>
  <c r="AI221" i="12"/>
  <c r="AI223" i="12"/>
  <c r="K196" i="12" s="1"/>
  <c r="AI224" i="12"/>
  <c r="AI143" i="12"/>
  <c r="H182" i="12" s="1"/>
  <c r="AI146" i="12"/>
  <c r="V96" i="12"/>
  <c r="W95" i="12"/>
  <c r="S93" i="12"/>
  <c r="T92" i="12"/>
  <c r="J90" i="12"/>
  <c r="B89" i="12"/>
  <c r="F90" i="12"/>
  <c r="H89" i="12"/>
  <c r="J89" i="12"/>
  <c r="H90" i="12"/>
  <c r="AI85" i="12"/>
  <c r="AI88" i="12"/>
  <c r="H124" i="12" s="1"/>
  <c r="T9" i="12" l="1"/>
  <c r="U9" i="12" s="1"/>
  <c r="T5" i="12"/>
  <c r="U5" i="12" s="1"/>
  <c r="D242" i="12"/>
  <c r="D69" i="12"/>
  <c r="T8" i="12"/>
  <c r="U8" i="12" s="1"/>
  <c r="AI47" i="12"/>
  <c r="J21" i="12" s="1"/>
  <c r="P11" i="12"/>
  <c r="G76" i="12"/>
  <c r="AI160" i="12"/>
  <c r="G134" i="12"/>
  <c r="AI49" i="12"/>
  <c r="H71" i="12" s="1"/>
  <c r="J71" i="12" s="1"/>
  <c r="K71" i="12" s="1"/>
  <c r="I128" i="12" s="1"/>
  <c r="AI39" i="12"/>
  <c r="AI46" i="12"/>
  <c r="AI40" i="12"/>
  <c r="AI36" i="12"/>
  <c r="AI45" i="12"/>
  <c r="AI37" i="12"/>
  <c r="AI48" i="12"/>
  <c r="L196" i="12"/>
  <c r="H247" i="12"/>
  <c r="I196" i="12"/>
  <c r="H246" i="12"/>
  <c r="V105" i="12"/>
  <c r="T101" i="12"/>
  <c r="S102" i="12"/>
  <c r="W104" i="12"/>
  <c r="Q106" i="12"/>
  <c r="F106" i="12"/>
  <c r="N103" i="12"/>
  <c r="C103" i="12"/>
  <c r="P106" i="12"/>
  <c r="M106" i="12"/>
  <c r="E106" i="12"/>
  <c r="D106" i="12"/>
  <c r="B106" i="12"/>
  <c r="A106" i="12"/>
  <c r="Q105" i="12"/>
  <c r="N105" i="12"/>
  <c r="F105" i="12"/>
  <c r="C105" i="12"/>
  <c r="F104" i="12"/>
  <c r="C104" i="12"/>
  <c r="P103" i="12"/>
  <c r="M103" i="12"/>
  <c r="E103" i="12"/>
  <c r="D103" i="12"/>
  <c r="B103" i="12"/>
  <c r="A103" i="12"/>
  <c r="Q102" i="12"/>
  <c r="N102" i="12"/>
  <c r="F102" i="12"/>
  <c r="C102" i="12"/>
  <c r="F101" i="12"/>
  <c r="G118" i="12" s="1"/>
  <c r="C101" i="12"/>
  <c r="N106" i="12"/>
  <c r="C106" i="12"/>
  <c r="M114" i="12" s="1"/>
  <c r="D123" i="12" s="1"/>
  <c r="Q103" i="12"/>
  <c r="F103" i="12"/>
  <c r="G120" i="12" s="1"/>
  <c r="P105" i="12"/>
  <c r="M105" i="12"/>
  <c r="P102" i="12"/>
  <c r="M102" i="12"/>
  <c r="E105" i="12"/>
  <c r="D105" i="12"/>
  <c r="B105" i="12"/>
  <c r="A105" i="12"/>
  <c r="O104" i="12"/>
  <c r="L104" i="12"/>
  <c r="E104" i="12"/>
  <c r="D104" i="12"/>
  <c r="B104" i="12"/>
  <c r="A104" i="12"/>
  <c r="E102" i="12"/>
  <c r="D102" i="12"/>
  <c r="B102" i="12"/>
  <c r="A102" i="12"/>
  <c r="O101" i="12"/>
  <c r="L101" i="12"/>
  <c r="E101" i="12"/>
  <c r="D101" i="12"/>
  <c r="B101" i="12"/>
  <c r="A101" i="12"/>
  <c r="W105" i="12"/>
  <c r="S101" i="12"/>
  <c r="T102" i="12"/>
  <c r="V104" i="12"/>
  <c r="L134" i="12"/>
  <c r="H183" i="12"/>
  <c r="I134" i="12"/>
  <c r="L76" i="12"/>
  <c r="I76" i="12"/>
  <c r="H123" i="12"/>
  <c r="N97" i="12"/>
  <c r="C97" i="12"/>
  <c r="J120" i="12" s="1"/>
  <c r="Q94" i="12"/>
  <c r="F94" i="12"/>
  <c r="M117" i="12" s="1"/>
  <c r="P97" i="12"/>
  <c r="M97" i="12"/>
  <c r="E97" i="12"/>
  <c r="L120" i="12" s="1"/>
  <c r="D97" i="12"/>
  <c r="B97" i="12"/>
  <c r="I120" i="12" s="1"/>
  <c r="A97" i="12"/>
  <c r="H120" i="12" s="1"/>
  <c r="Q96" i="12"/>
  <c r="N96" i="12"/>
  <c r="F96" i="12"/>
  <c r="C96" i="12"/>
  <c r="J119" i="12" s="1"/>
  <c r="F95" i="12"/>
  <c r="M118" i="12" s="1"/>
  <c r="C95" i="12"/>
  <c r="J118" i="12" s="1"/>
  <c r="P94" i="12"/>
  <c r="M94" i="12"/>
  <c r="AA94" i="12" s="1"/>
  <c r="E94" i="12"/>
  <c r="L117" i="12" s="1"/>
  <c r="D94" i="12"/>
  <c r="K117" i="12" s="1"/>
  <c r="B94" i="12"/>
  <c r="I117" i="12" s="1"/>
  <c r="A94" i="12"/>
  <c r="H117" i="12" s="1"/>
  <c r="Q93" i="12"/>
  <c r="N93" i="12"/>
  <c r="F93" i="12"/>
  <c r="M116" i="12" s="1"/>
  <c r="C93" i="12"/>
  <c r="J116" i="12" s="1"/>
  <c r="F92" i="12"/>
  <c r="M115" i="12" s="1"/>
  <c r="C92" i="12"/>
  <c r="J115" i="12" s="1"/>
  <c r="Q97" i="12"/>
  <c r="F97" i="12"/>
  <c r="N94" i="12"/>
  <c r="C94" i="12"/>
  <c r="J117" i="12" s="1"/>
  <c r="E96" i="12"/>
  <c r="D96" i="12"/>
  <c r="B96" i="12"/>
  <c r="I119" i="12" s="1"/>
  <c r="A96" i="12"/>
  <c r="H119" i="12" s="1"/>
  <c r="O95" i="12"/>
  <c r="L95" i="12"/>
  <c r="E95" i="12"/>
  <c r="L118" i="12" s="1"/>
  <c r="D95" i="12"/>
  <c r="B95" i="12"/>
  <c r="I118" i="12" s="1"/>
  <c r="A95" i="12"/>
  <c r="H118" i="12" s="1"/>
  <c r="E93" i="12"/>
  <c r="L116" i="12" s="1"/>
  <c r="D93" i="12"/>
  <c r="K116" i="12" s="1"/>
  <c r="B93" i="12"/>
  <c r="I116" i="12" s="1"/>
  <c r="A93" i="12"/>
  <c r="H116" i="12" s="1"/>
  <c r="O92" i="12"/>
  <c r="L92" i="12"/>
  <c r="E92" i="12"/>
  <c r="L115" i="12" s="1"/>
  <c r="D92" i="12"/>
  <c r="K115" i="12" s="1"/>
  <c r="B92" i="12"/>
  <c r="I115" i="12" s="1"/>
  <c r="A92" i="12"/>
  <c r="H115" i="12" s="1"/>
  <c r="W96" i="12"/>
  <c r="V95" i="12"/>
  <c r="T93" i="12"/>
  <c r="S92" i="12"/>
  <c r="P96" i="12"/>
  <c r="M96" i="12"/>
  <c r="P93" i="12"/>
  <c r="M93" i="12"/>
  <c r="L119" i="12" l="1"/>
  <c r="AA93" i="12"/>
  <c r="K118" i="12"/>
  <c r="K119" i="12"/>
  <c r="M120" i="12"/>
  <c r="AA97" i="12"/>
  <c r="L21" i="12"/>
  <c r="H68" i="12"/>
  <c r="I20" i="12"/>
  <c r="AA96" i="12"/>
  <c r="D125" i="12"/>
  <c r="D127" i="12"/>
  <c r="K20" i="12"/>
  <c r="M119" i="12"/>
  <c r="D128" i="12" s="1"/>
  <c r="H21" i="12"/>
  <c r="H20" i="12"/>
  <c r="I21" i="12"/>
  <c r="H70" i="12"/>
  <c r="K120" i="12"/>
  <c r="K21" i="12"/>
  <c r="H69" i="12"/>
  <c r="L20" i="12"/>
  <c r="Z102" i="12"/>
  <c r="Z103" i="12"/>
  <c r="Z105" i="12"/>
  <c r="Z106" i="12"/>
  <c r="AE101" i="12"/>
  <c r="AD101" i="12"/>
  <c r="AC101" i="12"/>
  <c r="AB101" i="12"/>
  <c r="AA101" i="12"/>
  <c r="Z101" i="12"/>
  <c r="AE104" i="12"/>
  <c r="AD104" i="12"/>
  <c r="AC104" i="12"/>
  <c r="AB104" i="12"/>
  <c r="AA104" i="12"/>
  <c r="Z104" i="12"/>
  <c r="AE102" i="12"/>
  <c r="AD102" i="12"/>
  <c r="AC102" i="12"/>
  <c r="AB102" i="12"/>
  <c r="AE105" i="12"/>
  <c r="AD105" i="12"/>
  <c r="AC105" i="12"/>
  <c r="AB105" i="12"/>
  <c r="AE103" i="12"/>
  <c r="AD103" i="12"/>
  <c r="AC103" i="12"/>
  <c r="AB103" i="12"/>
  <c r="AE106" i="12"/>
  <c r="AD106" i="12"/>
  <c r="AC106" i="12"/>
  <c r="AB106" i="12"/>
  <c r="AA102" i="12"/>
  <c r="AA103" i="12"/>
  <c r="AA105" i="12"/>
  <c r="AA106" i="12"/>
  <c r="Q4" i="12"/>
  <c r="Q11" i="12"/>
  <c r="Q10" i="12"/>
  <c r="Q9" i="12"/>
  <c r="Q8" i="12"/>
  <c r="Q7" i="12"/>
  <c r="Q6" i="12"/>
  <c r="Q5" i="12"/>
  <c r="D124" i="12"/>
  <c r="L10" i="12"/>
  <c r="M10" i="12" s="1"/>
  <c r="L8" i="12"/>
  <c r="M8" i="12" s="1"/>
  <c r="L6" i="12"/>
  <c r="M6" i="12" s="1"/>
  <c r="D126" i="12"/>
  <c r="D129" i="12"/>
  <c r="AE93" i="12"/>
  <c r="AD93" i="12"/>
  <c r="AC93" i="12"/>
  <c r="AB93" i="12"/>
  <c r="AE96" i="12"/>
  <c r="AD96" i="12"/>
  <c r="AC96" i="12"/>
  <c r="AB96" i="12"/>
  <c r="Z97" i="12"/>
  <c r="Z96" i="12"/>
  <c r="Z94" i="12"/>
  <c r="Z93" i="12"/>
  <c r="AE92" i="12"/>
  <c r="AD92" i="12"/>
  <c r="AC92" i="12"/>
  <c r="AB92" i="12"/>
  <c r="AA92" i="12"/>
  <c r="Z92" i="12"/>
  <c r="AE95" i="12"/>
  <c r="AD95" i="12"/>
  <c r="AC95" i="12"/>
  <c r="AB95" i="12"/>
  <c r="AA95" i="12"/>
  <c r="Z95" i="12"/>
  <c r="AE94" i="12"/>
  <c r="AD94" i="12"/>
  <c r="AC94" i="12"/>
  <c r="AB94" i="12"/>
  <c r="AE97" i="12"/>
  <c r="AD97" i="12"/>
  <c r="AC97" i="12"/>
  <c r="AB97" i="12"/>
  <c r="L11" i="12" l="1"/>
  <c r="M11" i="12" s="1"/>
  <c r="L5" i="12"/>
  <c r="M5" i="12" s="1"/>
  <c r="L7" i="12"/>
  <c r="M7" i="12" s="1"/>
  <c r="L9" i="12"/>
  <c r="M9" i="12" s="1"/>
  <c r="AI92" i="12"/>
  <c r="G77" i="12" s="1"/>
  <c r="AI96" i="12"/>
  <c r="K77" i="12" s="1"/>
  <c r="AI101" i="12"/>
  <c r="G78" i="12" s="1"/>
  <c r="J69" i="12"/>
  <c r="K69" i="12"/>
  <c r="I126" i="12" s="1"/>
  <c r="AI95" i="12"/>
  <c r="AI93" i="12"/>
  <c r="H77" i="12" s="1"/>
  <c r="AI104" i="12"/>
  <c r="J78" i="12" s="1"/>
  <c r="J70" i="12"/>
  <c r="K70" i="12"/>
  <c r="I127" i="12" s="1"/>
  <c r="J68" i="12"/>
  <c r="K68" i="12"/>
  <c r="I125" i="12" s="1"/>
  <c r="AI106" i="12"/>
  <c r="AI105" i="12"/>
  <c r="K78" i="12" s="1"/>
  <c r="AI103" i="12"/>
  <c r="AI102" i="12"/>
  <c r="H78" i="12" s="1"/>
  <c r="AI94" i="12"/>
  <c r="AI97" i="12"/>
  <c r="H126" i="12" s="1"/>
  <c r="J126" i="12" l="1"/>
  <c r="J77" i="12"/>
  <c r="AH3" i="12"/>
  <c r="H127" i="12"/>
  <c r="J127" i="12" s="1"/>
  <c r="I78" i="12"/>
  <c r="H128" i="12"/>
  <c r="J128" i="12" s="1"/>
  <c r="L78" i="12"/>
  <c r="L77" i="12"/>
  <c r="I77" i="12"/>
  <c r="H125" i="12"/>
  <c r="J125" i="12" s="1"/>
  <c r="K127" i="12" l="1"/>
  <c r="I186" i="12" s="1"/>
  <c r="K126" i="12"/>
  <c r="K128" i="12"/>
  <c r="K125" i="12"/>
  <c r="I184" i="12" l="1"/>
  <c r="I187" i="12"/>
  <c r="I185" i="12"/>
  <c r="B16" i="4" l="1"/>
  <c r="B15" i="4"/>
  <c r="D14" i="4"/>
  <c r="B14" i="4"/>
  <c r="D13" i="4"/>
  <c r="B13" i="4"/>
  <c r="B11" i="4"/>
  <c r="B18" i="4" s="1"/>
  <c r="N52" i="6"/>
  <c r="N51" i="6"/>
  <c r="N50" i="6"/>
  <c r="M40" i="6"/>
  <c r="M39" i="6"/>
  <c r="M36" i="6"/>
  <c r="M35" i="6"/>
  <c r="M33" i="6"/>
  <c r="M29" i="6"/>
  <c r="M23" i="6"/>
  <c r="H23" i="6"/>
  <c r="E23" i="6"/>
  <c r="W22" i="6"/>
  <c r="V22" i="6"/>
  <c r="S22" i="6"/>
  <c r="M22" i="6"/>
  <c r="H22" i="6"/>
  <c r="G22" i="6"/>
  <c r="C22" i="6"/>
  <c r="V21" i="6"/>
  <c r="M21" i="6"/>
  <c r="H21" i="6"/>
  <c r="C21" i="6"/>
  <c r="E26" i="6" s="1"/>
  <c r="M20" i="6"/>
  <c r="B14" i="2"/>
  <c r="D14" i="2" s="1"/>
  <c r="B12" i="2"/>
  <c r="B10" i="2"/>
  <c r="B9" i="2"/>
  <c r="D15" i="2" s="1"/>
  <c r="A10" i="1"/>
  <c r="A9" i="1"/>
  <c r="A8" i="1"/>
  <c r="A7" i="1"/>
  <c r="A6" i="1"/>
  <c r="E3" i="1"/>
  <c r="C14" i="4" l="1"/>
  <c r="D32" i="6"/>
  <c r="K34" i="6" s="1"/>
  <c r="F66" i="6"/>
  <c r="I34" i="6"/>
  <c r="D26" i="6"/>
  <c r="D30" i="6" s="1"/>
  <c r="F21" i="6"/>
  <c r="D22" i="6"/>
  <c r="E32" i="6"/>
  <c r="C13" i="4"/>
  <c r="B11" i="2"/>
  <c r="R21" i="6"/>
  <c r="R22" i="6" s="1"/>
  <c r="F22" i="6"/>
  <c r="D23" i="6" s="1"/>
  <c r="B32" i="6" l="1"/>
  <c r="B36" i="6"/>
  <c r="A35" i="6"/>
  <c r="C36" i="6"/>
  <c r="D35" i="6"/>
  <c r="H34" i="6"/>
  <c r="A36" i="6"/>
  <c r="B35" i="6"/>
  <c r="J34" i="6"/>
  <c r="C34" i="6"/>
  <c r="D33" i="6"/>
  <c r="C23" i="6"/>
  <c r="D38" i="6" s="1"/>
  <c r="B28" i="6"/>
  <c r="D36" i="6"/>
  <c r="B34" i="6"/>
  <c r="B33" i="6"/>
  <c r="A34" i="6"/>
  <c r="A33" i="6"/>
  <c r="C35" i="6"/>
  <c r="B26" i="6"/>
  <c r="D28" i="6"/>
  <c r="B30" i="6"/>
  <c r="K28" i="6"/>
  <c r="D34" i="6"/>
  <c r="J28" i="6" l="1"/>
  <c r="B38" i="6"/>
  <c r="J40" i="6" s="1"/>
  <c r="O34" i="6"/>
  <c r="K22" i="6"/>
  <c r="L22" i="6" s="1"/>
  <c r="A29" i="6"/>
  <c r="D27" i="6"/>
  <c r="C30" i="6"/>
  <c r="D29" i="6"/>
  <c r="C28" i="6"/>
  <c r="A30" i="6"/>
  <c r="B29" i="6"/>
  <c r="A27" i="6"/>
  <c r="C29" i="6"/>
  <c r="H50" i="6" s="1"/>
  <c r="H28" i="6"/>
  <c r="O28" i="6" s="1"/>
  <c r="A28" i="6"/>
  <c r="B27" i="6"/>
  <c r="K40" i="6"/>
  <c r="I40" i="6"/>
  <c r="C33" i="6"/>
  <c r="J50" i="6"/>
  <c r="H40" i="6" l="1"/>
  <c r="I50" i="6"/>
  <c r="F61" i="6" s="1"/>
  <c r="C27" i="6"/>
  <c r="G50" i="6"/>
  <c r="F50" i="6" s="1"/>
  <c r="E50" i="6" s="1"/>
  <c r="J49" i="6" s="1"/>
  <c r="I49" i="6" s="1"/>
  <c r="H49" i="6" s="1"/>
  <c r="G49" i="6" s="1"/>
  <c r="F49" i="6" s="1"/>
  <c r="E49" i="6" s="1"/>
  <c r="N22" i="6"/>
  <c r="O22" i="6"/>
  <c r="K23" i="6"/>
  <c r="L23" i="6" s="1"/>
  <c r="O40" i="6"/>
  <c r="O23" i="6" l="1"/>
  <c r="N23" i="6"/>
  <c r="P31" i="12" l="1"/>
  <c r="M31" i="12"/>
  <c r="E31" i="12"/>
  <c r="I60" i="12" s="1"/>
  <c r="D31" i="12"/>
  <c r="H60" i="12" s="1"/>
  <c r="B31" i="12"/>
  <c r="A31" i="12"/>
  <c r="Q30" i="12"/>
  <c r="N30" i="12"/>
  <c r="F30" i="12"/>
  <c r="J59" i="12" s="1"/>
  <c r="C30" i="12"/>
  <c r="F29" i="12"/>
  <c r="C29" i="12"/>
  <c r="P28" i="12"/>
  <c r="E28" i="12"/>
  <c r="I54" i="12" s="1"/>
  <c r="D28" i="12"/>
  <c r="H54" i="12" s="1"/>
  <c r="A28" i="12"/>
  <c r="B54" i="12" s="1"/>
  <c r="Q27" i="12"/>
  <c r="N27" i="12"/>
  <c r="F27" i="12"/>
  <c r="J53" i="12" s="1"/>
  <c r="C27" i="12"/>
  <c r="D53" i="12" s="1"/>
  <c r="F26" i="12"/>
  <c r="J52" i="12" s="1"/>
  <c r="C26" i="12"/>
  <c r="D52" i="12" s="1"/>
  <c r="M28" i="12"/>
  <c r="B28" i="12"/>
  <c r="C54" i="12" s="1"/>
  <c r="Q31" i="12"/>
  <c r="D58" i="12" l="1"/>
  <c r="D115" i="12"/>
  <c r="D59" i="12"/>
  <c r="D116" i="12"/>
  <c r="B60" i="12"/>
  <c r="B117" i="12"/>
  <c r="C60" i="12"/>
  <c r="C117" i="12"/>
  <c r="P30" i="12"/>
  <c r="M30" i="12"/>
  <c r="P27" i="12"/>
  <c r="M27" i="12"/>
  <c r="C28" i="12"/>
  <c r="D54" i="12" s="1"/>
  <c r="N28" i="12"/>
  <c r="F31" i="12"/>
  <c r="J60" i="12" s="1"/>
  <c r="D68" i="12" s="1"/>
  <c r="N31" i="12" l="1"/>
  <c r="C31" i="12"/>
  <c r="Q28" i="12"/>
  <c r="AD28" i="12" s="1"/>
  <c r="F28" i="12"/>
  <c r="J54" i="12" s="1"/>
  <c r="E30" i="12"/>
  <c r="I59" i="12" s="1"/>
  <c r="D30" i="12"/>
  <c r="H59" i="12" s="1"/>
  <c r="B30" i="12"/>
  <c r="A30" i="12"/>
  <c r="O29" i="12"/>
  <c r="E29" i="12"/>
  <c r="I58" i="12" s="1"/>
  <c r="D29" i="12"/>
  <c r="H58" i="12" s="1"/>
  <c r="B29" i="12"/>
  <c r="A29" i="12"/>
  <c r="E27" i="12"/>
  <c r="I53" i="12" s="1"/>
  <c r="D27" i="12"/>
  <c r="H53" i="12" s="1"/>
  <c r="B27" i="12"/>
  <c r="C53" i="12" s="1"/>
  <c r="A27" i="12"/>
  <c r="B53" i="12" s="1"/>
  <c r="O26" i="12"/>
  <c r="E26" i="12"/>
  <c r="I52" i="12" s="1"/>
  <c r="D26" i="12"/>
  <c r="H52" i="12" s="1"/>
  <c r="B26" i="12"/>
  <c r="C52" i="12" s="1"/>
  <c r="A26" i="12"/>
  <c r="B52" i="12" s="1"/>
  <c r="L29" i="12"/>
  <c r="L26" i="12"/>
  <c r="AE27" i="12"/>
  <c r="AD27" i="12"/>
  <c r="AC27" i="12"/>
  <c r="AB27" i="12"/>
  <c r="AA27" i="12"/>
  <c r="Z27" i="12"/>
  <c r="AE30" i="12"/>
  <c r="AD30" i="12"/>
  <c r="AC30" i="12"/>
  <c r="AB30" i="12"/>
  <c r="AA30" i="12"/>
  <c r="Z30" i="12"/>
  <c r="Z28" i="12"/>
  <c r="AC28" i="12"/>
  <c r="AA28" i="12"/>
  <c r="AE28" i="12" l="1"/>
  <c r="AB28" i="12"/>
  <c r="AI30" i="12"/>
  <c r="K19" i="12" s="1"/>
  <c r="D67" i="12"/>
  <c r="AI27" i="12"/>
  <c r="B58" i="12"/>
  <c r="B115" i="12"/>
  <c r="C58" i="12"/>
  <c r="C115" i="12"/>
  <c r="B59" i="12"/>
  <c r="B116" i="12"/>
  <c r="C59" i="12"/>
  <c r="C116" i="12"/>
  <c r="D60" i="12"/>
  <c r="D117" i="12"/>
  <c r="D66" i="12"/>
  <c r="H11" i="12"/>
  <c r="I11" i="12" s="1"/>
  <c r="H10" i="12"/>
  <c r="I10" i="12" s="1"/>
  <c r="H9" i="12"/>
  <c r="I9" i="12" s="1"/>
  <c r="H8" i="12"/>
  <c r="I8" i="12" s="1"/>
  <c r="H7" i="12"/>
  <c r="I7" i="12" s="1"/>
  <c r="H6" i="12"/>
  <c r="I6" i="12" s="1"/>
  <c r="AE26" i="12"/>
  <c r="AD26" i="12"/>
  <c r="AC26" i="12"/>
  <c r="AB26" i="12"/>
  <c r="AA26" i="12"/>
  <c r="Z26" i="12"/>
  <c r="AE29" i="12"/>
  <c r="AD29" i="12"/>
  <c r="AC29" i="12"/>
  <c r="AB29" i="12"/>
  <c r="AA29" i="12"/>
  <c r="Z29" i="12"/>
  <c r="AE31" i="12"/>
  <c r="Z31" i="12"/>
  <c r="AA31" i="12"/>
  <c r="AB31" i="12"/>
  <c r="AC31" i="12"/>
  <c r="AD31" i="12"/>
  <c r="AI28" i="12"/>
  <c r="AI29" i="12" l="1"/>
  <c r="J19" i="12" s="1"/>
  <c r="AI26" i="12"/>
  <c r="H19" i="12"/>
  <c r="H66" i="12"/>
  <c r="I19" i="12"/>
  <c r="AI31" i="12"/>
  <c r="H67" i="12" s="1"/>
  <c r="G19" i="12" l="1"/>
  <c r="AH2" i="12"/>
  <c r="K66" i="12"/>
  <c r="K123" i="12" s="1"/>
  <c r="K67" i="12"/>
  <c r="K124" i="12" s="1"/>
  <c r="L19" i="12"/>
  <c r="J66" i="12"/>
  <c r="I123" i="12"/>
  <c r="J123" i="12" s="1"/>
  <c r="I183" i="12" l="1"/>
  <c r="J183" i="12" s="1"/>
  <c r="I182" i="12"/>
  <c r="J182" i="12" s="1"/>
  <c r="J67" i="12"/>
  <c r="O65" i="12" s="1"/>
  <c r="K182" i="12" l="1"/>
  <c r="I242" i="12" s="1"/>
  <c r="K183" i="12"/>
  <c r="I243" i="12" s="1"/>
  <c r="I124" i="12"/>
  <c r="J124" i="12" l="1"/>
  <c r="O122" i="12" s="1"/>
  <c r="AI202" i="12"/>
  <c r="H194" i="12" s="1"/>
  <c r="AI205" i="12"/>
  <c r="K194" i="12" s="1"/>
  <c r="AI204" i="12"/>
  <c r="J194" i="12" s="1"/>
  <c r="AI201" i="12"/>
  <c r="AI203" i="12"/>
  <c r="AI206" i="12"/>
  <c r="H243" i="12" s="1"/>
  <c r="AI213" i="12"/>
  <c r="J195" i="12" s="1"/>
  <c r="AI210" i="12"/>
  <c r="G195" i="12" s="1"/>
  <c r="AI211" i="12"/>
  <c r="H195" i="12" s="1"/>
  <c r="AI214" i="12"/>
  <c r="K195" i="12" s="1"/>
  <c r="AI212" i="12"/>
  <c r="AI215" i="12"/>
  <c r="AI153" i="12"/>
  <c r="J135" i="12" s="1"/>
  <c r="AI150" i="12"/>
  <c r="G135" i="12" s="1"/>
  <c r="AI151" i="12"/>
  <c r="H135" i="12" s="1"/>
  <c r="AI154" i="12"/>
  <c r="K135" i="12" s="1"/>
  <c r="AI155" i="12"/>
  <c r="AI162" i="12"/>
  <c r="AI159" i="12"/>
  <c r="G136" i="12" s="1"/>
  <c r="H136" i="12"/>
  <c r="AI161" i="12"/>
  <c r="H186" i="12" s="1"/>
  <c r="K186" i="12" s="1"/>
  <c r="I246" i="12" s="1"/>
  <c r="AI163" i="12"/>
  <c r="K136" i="12" s="1"/>
  <c r="AI164" i="12"/>
  <c r="J136" i="12" l="1"/>
  <c r="AH4" i="12"/>
  <c r="G194" i="12"/>
  <c r="AH5" i="12"/>
  <c r="L195" i="12"/>
  <c r="H245" i="12"/>
  <c r="I195" i="12"/>
  <c r="H244" i="12"/>
  <c r="L194" i="12"/>
  <c r="I194" i="12"/>
  <c r="H242" i="12"/>
  <c r="L136" i="12"/>
  <c r="H187" i="12"/>
  <c r="K187" i="12" s="1"/>
  <c r="I247" i="12" s="1"/>
  <c r="J247" i="12" s="1"/>
  <c r="I136" i="12"/>
  <c r="L135" i="12"/>
  <c r="H185" i="12"/>
  <c r="K185" i="12" s="1"/>
  <c r="I245" i="12" s="1"/>
  <c r="J245" i="12" s="1"/>
  <c r="I135" i="12"/>
  <c r="H184" i="12"/>
  <c r="K184" i="12" s="1"/>
  <c r="I244" i="12" s="1"/>
  <c r="J243" i="12" l="1"/>
  <c r="K243" i="12" s="1"/>
  <c r="J244" i="12"/>
  <c r="J246" i="12"/>
  <c r="J242" i="12"/>
  <c r="J184" i="12"/>
  <c r="O181" i="12" s="1"/>
  <c r="J185" i="12"/>
  <c r="J186" i="12"/>
  <c r="J187" i="12"/>
  <c r="K244" i="12" l="1"/>
  <c r="K246" i="12"/>
  <c r="O241" i="12"/>
  <c r="K247" i="12"/>
  <c r="K242" i="12"/>
  <c r="K245" i="12"/>
  <c r="E38" i="6"/>
  <c r="D41" i="6" s="1"/>
  <c r="F47" i="6" s="1"/>
  <c r="C42" i="6"/>
  <c r="E48" i="6" s="1"/>
  <c r="C41" i="6"/>
  <c r="E47" i="6" s="1"/>
  <c r="B40" i="6"/>
  <c r="J52" i="6" s="1"/>
  <c r="A40" i="6"/>
  <c r="I52" i="6" s="1"/>
  <c r="H52" i="6"/>
  <c r="F63" i="6" s="1"/>
  <c r="A39" i="6"/>
  <c r="I51" i="6"/>
  <c r="H51" i="6"/>
  <c r="D42" i="6"/>
  <c r="F48" i="6" s="1"/>
  <c r="K21" i="6"/>
  <c r="L21" i="6" s="1"/>
  <c r="N21" i="6" s="1"/>
  <c r="B42" i="6"/>
  <c r="J48" i="6"/>
  <c r="C40" i="6"/>
  <c r="E52" i="6" s="1"/>
  <c r="B41" i="6"/>
  <c r="J47" i="6" s="1"/>
  <c r="G52" i="6"/>
  <c r="D39" i="6"/>
  <c r="C39" i="6"/>
  <c r="E51" i="6" s="1"/>
  <c r="D40" i="6"/>
  <c r="F52" i="6" s="1"/>
  <c r="H47" i="6"/>
  <c r="G47" i="6"/>
  <c r="H48" i="6"/>
  <c r="G48" i="6"/>
  <c r="G51" i="6"/>
  <c r="F51" i="6"/>
  <c r="A41" i="6" l="1"/>
  <c r="I47" i="6" s="1"/>
  <c r="A42" i="6"/>
  <c r="I48" i="6" s="1"/>
  <c r="O21" i="6"/>
  <c r="B39" i="6"/>
  <c r="J51" i="6" s="1"/>
  <c r="F62" i="6" s="1"/>
  <c r="H57" i="6"/>
  <c r="H55" i="6"/>
  <c r="H56" i="6" l="1"/>
</calcChain>
</file>

<file path=xl/sharedStrings.xml><?xml version="1.0" encoding="utf-8"?>
<sst xmlns="http://schemas.openxmlformats.org/spreadsheetml/2006/main" count="521" uniqueCount="154">
  <si>
    <t>W=</t>
  </si>
  <si>
    <t>L=</t>
  </si>
  <si>
    <t>Fb=</t>
  </si>
  <si>
    <t>E=</t>
  </si>
  <si>
    <t>b=</t>
  </si>
  <si>
    <t>h=</t>
  </si>
  <si>
    <t>Fv</t>
  </si>
  <si>
    <t>Z=</t>
  </si>
  <si>
    <t>b(min)=</t>
  </si>
  <si>
    <t>b(max)=</t>
  </si>
  <si>
    <t>h(min)=</t>
  </si>
  <si>
    <t>h(max)=</t>
  </si>
  <si>
    <t>if using b(max)=50 and h(max)=100 then we have well dimention</t>
  </si>
  <si>
    <t>A=</t>
  </si>
  <si>
    <t>Fy=</t>
  </si>
  <si>
    <t>z=</t>
  </si>
  <si>
    <t>A(min)=</t>
  </si>
  <si>
    <t>A(max)=</t>
  </si>
  <si>
    <t>2K</t>
  </si>
  <si>
    <t>∆</t>
  </si>
  <si>
    <t>0.6Fy</t>
  </si>
  <si>
    <t>P1=</t>
  </si>
  <si>
    <t>P1/(0.6Fy)</t>
  </si>
  <si>
    <t>∆=(0.6Fy*A)/(2k)</t>
  </si>
  <si>
    <t>d=</t>
  </si>
  <si>
    <t>t1=</t>
  </si>
  <si>
    <t>t2=</t>
  </si>
  <si>
    <t>Y=</t>
  </si>
  <si>
    <t>h/(t2)=</t>
  </si>
  <si>
    <t>b/(2*t1)=</t>
  </si>
  <si>
    <t>I=</t>
  </si>
  <si>
    <t>t1(min)=</t>
  </si>
  <si>
    <t>t1(max)=</t>
  </si>
  <si>
    <t>t2(min)=</t>
  </si>
  <si>
    <t>t2(max)=</t>
  </si>
  <si>
    <t>d-12*t2</t>
  </si>
  <si>
    <t>d(min)=</t>
  </si>
  <si>
    <t>d(max)=</t>
  </si>
  <si>
    <t>A</t>
  </si>
  <si>
    <t>bf=</t>
  </si>
  <si>
    <t>A1=</t>
  </si>
  <si>
    <t>A2=</t>
  </si>
  <si>
    <t>A3=</t>
  </si>
  <si>
    <t>member</t>
  </si>
  <si>
    <t>L</t>
  </si>
  <si>
    <t>start</t>
  </si>
  <si>
    <t>end</t>
  </si>
  <si>
    <t>E</t>
  </si>
  <si>
    <t>Fy</t>
  </si>
  <si>
    <t>P</t>
  </si>
  <si>
    <t>P/A</t>
  </si>
  <si>
    <t>F.S</t>
  </si>
  <si>
    <t>stress ratio</t>
  </si>
  <si>
    <t>x</t>
  </si>
  <si>
    <t>y</t>
  </si>
  <si>
    <t>lanada-x</t>
  </si>
  <si>
    <t>landa-y</t>
  </si>
  <si>
    <t>q1=</t>
  </si>
  <si>
    <t>=</t>
  </si>
  <si>
    <t>Q1</t>
  </si>
  <si>
    <t>Q2</t>
  </si>
  <si>
    <t>Q10</t>
  </si>
  <si>
    <t>D3</t>
  </si>
  <si>
    <t>D5</t>
  </si>
  <si>
    <t>D6</t>
  </si>
  <si>
    <t>node</t>
  </si>
  <si>
    <t>coordinate-X</t>
  </si>
  <si>
    <t>coordinate-Y</t>
  </si>
  <si>
    <t>Px</t>
  </si>
  <si>
    <t>Py</t>
  </si>
  <si>
    <t>Ux</t>
  </si>
  <si>
    <t>Uy</t>
  </si>
  <si>
    <t>Constant</t>
  </si>
  <si>
    <t>Target Function</t>
  </si>
  <si>
    <r>
      <rPr>
        <b/>
        <sz val="11"/>
        <color theme="0"/>
        <rFont val="Calibri"/>
        <family val="2"/>
      </rPr>
      <t>Δ</t>
    </r>
    <r>
      <rPr>
        <b/>
        <sz val="9.9"/>
        <color theme="0"/>
        <rFont val="Arial"/>
        <family val="2"/>
        <charset val="178"/>
      </rPr>
      <t>3=</t>
    </r>
  </si>
  <si>
    <r>
      <rPr>
        <b/>
        <sz val="11"/>
        <color theme="0"/>
        <rFont val="Calibri"/>
        <family val="2"/>
      </rPr>
      <t>Δ5</t>
    </r>
    <r>
      <rPr>
        <b/>
        <sz val="9.9"/>
        <color theme="0"/>
        <rFont val="Arial"/>
        <family val="2"/>
        <charset val="178"/>
      </rPr>
      <t>=</t>
    </r>
  </si>
  <si>
    <r>
      <rPr>
        <b/>
        <sz val="11"/>
        <color theme="0"/>
        <rFont val="Calibri"/>
        <family val="2"/>
      </rPr>
      <t>Δ</t>
    </r>
    <r>
      <rPr>
        <b/>
        <sz val="9.9"/>
        <color theme="0"/>
        <rFont val="Arial"/>
        <family val="2"/>
        <charset val="178"/>
      </rPr>
      <t>6=</t>
    </r>
  </si>
  <si>
    <t>TRUSS OPTIMIZATION (analysis and design) BY TRAIL AND ERROR SOLUTION</t>
  </si>
  <si>
    <t>D7</t>
  </si>
  <si>
    <t>D8</t>
  </si>
  <si>
    <t>D9</t>
  </si>
  <si>
    <t>D10</t>
  </si>
  <si>
    <t>D11</t>
  </si>
  <si>
    <t>D12</t>
  </si>
  <si>
    <t>Q3</t>
  </si>
  <si>
    <t>Q4</t>
  </si>
  <si>
    <t>ΣF5=0</t>
  </si>
  <si>
    <t>ΣF6=0</t>
  </si>
  <si>
    <t>ΣF7=0</t>
  </si>
  <si>
    <t>ΣF8=0</t>
  </si>
  <si>
    <t>ΣF9=0</t>
  </si>
  <si>
    <t>ΣF10=0</t>
  </si>
  <si>
    <t>ΣF11=0</t>
  </si>
  <si>
    <t>ΣF12=0</t>
  </si>
  <si>
    <t>ΣF3=0</t>
  </si>
  <si>
    <t>W=0.5[P]{Δ}</t>
  </si>
  <si>
    <t>weight</t>
  </si>
  <si>
    <t>D3=</t>
  </si>
  <si>
    <t>tf=</t>
  </si>
  <si>
    <t xml:space="preserve">tw= </t>
  </si>
  <si>
    <t>hw1=</t>
  </si>
  <si>
    <t>D6=</t>
  </si>
  <si>
    <t>hw2=</t>
  </si>
  <si>
    <t>D7=</t>
  </si>
  <si>
    <t>hw3=</t>
  </si>
  <si>
    <t>D8=</t>
  </si>
  <si>
    <t>D9=</t>
  </si>
  <si>
    <t>D10=</t>
  </si>
  <si>
    <t>D11=</t>
  </si>
  <si>
    <t>D12=</t>
  </si>
  <si>
    <t>D13=</t>
  </si>
  <si>
    <t>h1=</t>
  </si>
  <si>
    <t>h2=</t>
  </si>
  <si>
    <t>σy=</t>
  </si>
  <si>
    <t>Fa=</t>
  </si>
  <si>
    <t>N</t>
  </si>
  <si>
    <t>V</t>
  </si>
  <si>
    <t>M</t>
  </si>
  <si>
    <t>lanada-x=</t>
  </si>
  <si>
    <t>y=</t>
  </si>
  <si>
    <t>4EI/L=</t>
  </si>
  <si>
    <t>6EI/L^2=</t>
  </si>
  <si>
    <t>lanada-y=</t>
  </si>
  <si>
    <t>EA/L=</t>
  </si>
  <si>
    <t>2EI/L=</t>
  </si>
  <si>
    <t>12EI/L^3=</t>
  </si>
  <si>
    <t>X</t>
  </si>
  <si>
    <t>D13</t>
  </si>
  <si>
    <r>
      <rPr>
        <b/>
        <sz val="11"/>
        <rFont val="Arial"/>
        <family val="2"/>
      </rPr>
      <t>Σ</t>
    </r>
    <r>
      <rPr>
        <b/>
        <sz val="11"/>
        <rFont val="Calibri"/>
        <family val="2"/>
        <scheme val="minor"/>
      </rPr>
      <t>F3=0</t>
    </r>
  </si>
  <si>
    <t>ΣF13=0</t>
  </si>
  <si>
    <t>Internal Force-start-i</t>
  </si>
  <si>
    <t>Internal Force-end-j</t>
  </si>
  <si>
    <t>Min</t>
  </si>
  <si>
    <t>Max</t>
  </si>
  <si>
    <t>Stage-1</t>
  </si>
  <si>
    <t>Q5</t>
  </si>
  <si>
    <t>Q6</t>
  </si>
  <si>
    <r>
      <rPr>
        <b/>
        <sz val="11"/>
        <rFont val="Arial"/>
        <family val="2"/>
      </rPr>
      <t>Σ</t>
    </r>
    <r>
      <rPr>
        <b/>
        <sz val="11"/>
        <rFont val="Calibri"/>
        <family val="2"/>
        <scheme val="minor"/>
      </rPr>
      <t>F7=0</t>
    </r>
  </si>
  <si>
    <t>Member</t>
  </si>
  <si>
    <t>Joint</t>
  </si>
  <si>
    <t>(Mo)</t>
  </si>
  <si>
    <t>Mp-Mi</t>
  </si>
  <si>
    <t>Mp</t>
  </si>
  <si>
    <t>Mp-Beam=</t>
  </si>
  <si>
    <t>Mp-column1=</t>
  </si>
  <si>
    <t>Mp-column2=</t>
  </si>
  <si>
    <r>
      <rPr>
        <sz val="11"/>
        <color theme="0"/>
        <rFont val="Calibri"/>
        <family val="2"/>
      </rPr>
      <t>α</t>
    </r>
    <r>
      <rPr>
        <sz val="11"/>
        <color theme="0"/>
        <rFont val="Arial"/>
        <family val="2"/>
        <charset val="178"/>
      </rPr>
      <t>=(Mp-Mi)/Mo</t>
    </r>
  </si>
  <si>
    <r>
      <t>Mi+1=Mi+</t>
    </r>
    <r>
      <rPr>
        <sz val="12"/>
        <color theme="0"/>
        <rFont val="Calibri"/>
        <family val="2"/>
        <scheme val="minor"/>
      </rPr>
      <t>α</t>
    </r>
    <r>
      <rPr>
        <sz val="9"/>
        <color theme="0"/>
        <rFont val="Calibri"/>
        <family val="2"/>
        <scheme val="minor"/>
      </rPr>
      <t>cr</t>
    </r>
    <r>
      <rPr>
        <sz val="11"/>
        <color theme="0"/>
        <rFont val="Calibri"/>
        <family val="2"/>
        <charset val="178"/>
        <scheme val="minor"/>
      </rPr>
      <t>.Mo</t>
    </r>
  </si>
  <si>
    <t>Stage-2</t>
  </si>
  <si>
    <r>
      <rPr>
        <b/>
        <sz val="11"/>
        <rFont val="Arial"/>
        <family val="2"/>
      </rPr>
      <t>Σ</t>
    </r>
    <r>
      <rPr>
        <b/>
        <sz val="11"/>
        <rFont val="Calibri"/>
        <family val="2"/>
        <scheme val="minor"/>
      </rPr>
      <t>F6=0</t>
    </r>
  </si>
  <si>
    <t>αcr=</t>
  </si>
  <si>
    <t>Stage-3</t>
  </si>
  <si>
    <t>Stage-4</t>
  </si>
  <si>
    <t>In next stage jont-2 get yelided and structure 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</si>
</sst>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2" x14ac:knownFonts="1">
    <font>
      <sz val="11"/>
      <color theme="1"/>
      <name val="Calibri"/>
      <family val="2"/>
      <charset val="178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charset val="178"/>
      <scheme val="minor"/>
    </font>
    <font>
      <b/>
      <sz val="12"/>
      <color theme="1"/>
      <name val="Cambria"/>
      <family val="1"/>
      <scheme val="major"/>
    </font>
    <font>
      <b/>
      <sz val="11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78"/>
      <scheme val="minor"/>
    </font>
    <font>
      <sz val="10"/>
      <name val="Arial"/>
      <family val="2"/>
    </font>
    <font>
      <b/>
      <sz val="10"/>
      <color theme="3" tint="0.39997558519241921"/>
      <name val="Arial"/>
      <family val="2"/>
    </font>
    <font>
      <sz val="12"/>
      <name val="Arial"/>
      <family val="2"/>
    </font>
    <font>
      <b/>
      <sz val="10"/>
      <color rgb="FF0070C0"/>
      <name val="Arial"/>
      <family val="2"/>
    </font>
    <font>
      <b/>
      <sz val="11"/>
      <color theme="0"/>
      <name val="Arial"/>
      <family val="2"/>
      <charset val="178"/>
    </font>
    <font>
      <b/>
      <sz val="11"/>
      <color theme="0"/>
      <name val="Calibri"/>
      <family val="2"/>
    </font>
    <font>
      <b/>
      <sz val="9.9"/>
      <color theme="0"/>
      <name val="Arial"/>
      <family val="2"/>
      <charset val="178"/>
    </font>
    <font>
      <b/>
      <sz val="11"/>
      <color theme="0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sz val="11"/>
      <color theme="0"/>
      <name val="Calibri"/>
      <family val="2"/>
      <charset val="178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charset val="178"/>
      <scheme val="minor"/>
    </font>
    <font>
      <sz val="11"/>
      <color theme="0"/>
      <name val="Arial"/>
      <family val="2"/>
      <charset val="178"/>
    </font>
    <font>
      <sz val="11"/>
      <color theme="0"/>
      <name val="Calibri"/>
      <family val="2"/>
    </font>
    <font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gray125">
        <bgColor theme="4" tint="0.79995117038483843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 style="mediumDashDot">
        <color indexed="64"/>
      </right>
      <top/>
      <bottom/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indexed="64"/>
      </bottom>
      <diagonal/>
    </border>
    <border>
      <left/>
      <right/>
      <top style="medium">
        <color rgb="FF0070C0"/>
      </top>
      <bottom style="medium">
        <color indexed="64"/>
      </bottom>
      <diagonal/>
    </border>
    <border>
      <left style="medium">
        <color rgb="FF0070C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70C0"/>
      </left>
      <right/>
      <top style="medium">
        <color indexed="64"/>
      </top>
      <bottom/>
      <diagonal/>
    </border>
    <border>
      <left style="medium">
        <color rgb="FF0070C0"/>
      </left>
      <right/>
      <top/>
      <bottom style="medium">
        <color indexed="64"/>
      </bottom>
      <diagonal/>
    </border>
    <border>
      <left style="medium">
        <color rgb="FF0070C0"/>
      </left>
      <right style="medium">
        <color indexed="64"/>
      </right>
      <top/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">
        <color indexed="64"/>
      </left>
      <right/>
      <top style="mediumDashDot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24" fillId="0" borderId="0" applyFont="0" applyFill="0" applyBorder="0" applyAlignment="0" applyProtection="0"/>
  </cellStyleXfs>
  <cellXfs count="2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0" fontId="4" fillId="0" borderId="0" xfId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0" fillId="0" borderId="0" xfId="0" applyNumberFormat="1"/>
    <xf numFmtId="0" fontId="0" fillId="0" borderId="0" xfId="0" applyBorder="1"/>
    <xf numFmtId="0" fontId="0" fillId="4" borderId="1" xfId="0" applyFill="1" applyBorder="1" applyAlignment="1" applyProtection="1">
      <alignment horizontal="center" vertical="center"/>
      <protection hidden="1"/>
    </xf>
    <xf numFmtId="0" fontId="13" fillId="4" borderId="1" xfId="0" applyFont="1" applyFill="1" applyBorder="1" applyAlignment="1" applyProtection="1">
      <alignment horizontal="center" vertical="center"/>
      <protection locked="0"/>
    </xf>
    <xf numFmtId="0" fontId="13" fillId="4" borderId="10" xfId="0" applyFont="1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center" vertical="center"/>
      <protection hidden="1"/>
    </xf>
    <xf numFmtId="0" fontId="0" fillId="4" borderId="11" xfId="0" applyFill="1" applyBorder="1" applyAlignment="1" applyProtection="1">
      <alignment horizontal="center" vertical="center"/>
      <protection hidden="1"/>
    </xf>
    <xf numFmtId="164" fontId="0" fillId="4" borderId="1" xfId="0" applyNumberFormat="1" applyFill="1" applyBorder="1" applyAlignment="1" applyProtection="1">
      <alignment horizontal="center"/>
      <protection hidden="1"/>
    </xf>
    <xf numFmtId="0" fontId="12" fillId="4" borderId="13" xfId="0" applyFont="1" applyFill="1" applyBorder="1" applyAlignment="1" applyProtection="1">
      <alignment horizontal="center" vertical="center"/>
      <protection hidden="1"/>
    </xf>
    <xf numFmtId="0" fontId="0" fillId="4" borderId="14" xfId="0" applyFill="1" applyBorder="1" applyAlignment="1" applyProtection="1">
      <alignment horizontal="center" vertical="center"/>
      <protection hidden="1"/>
    </xf>
    <xf numFmtId="0" fontId="12" fillId="4" borderId="14" xfId="0" applyFont="1" applyFill="1" applyBorder="1" applyAlignment="1" applyProtection="1">
      <alignment horizontal="center" vertical="center"/>
      <protection hidden="1"/>
    </xf>
    <xf numFmtId="0" fontId="0" fillId="4" borderId="15" xfId="0" applyFill="1" applyBorder="1" applyAlignment="1" applyProtection="1">
      <alignment horizontal="center"/>
      <protection hidden="1"/>
    </xf>
    <xf numFmtId="0" fontId="0" fillId="4" borderId="0" xfId="0" applyFill="1" applyAlignment="1" applyProtection="1">
      <alignment horizontal="center"/>
      <protection hidden="1"/>
    </xf>
    <xf numFmtId="0" fontId="0" fillId="4" borderId="0" xfId="0" applyFill="1" applyBorder="1" applyAlignment="1" applyProtection="1">
      <alignment horizontal="center"/>
      <protection hidden="1"/>
    </xf>
    <xf numFmtId="0" fontId="0" fillId="4" borderId="16" xfId="0" applyFill="1" applyBorder="1" applyAlignment="1" applyProtection="1">
      <alignment horizontal="center" vertical="center"/>
      <protection hidden="1"/>
    </xf>
    <xf numFmtId="0" fontId="0" fillId="4" borderId="0" xfId="0" applyFill="1" applyBorder="1" applyAlignment="1" applyProtection="1">
      <alignment horizontal="center" vertical="center"/>
      <protection hidden="1"/>
    </xf>
    <xf numFmtId="0" fontId="0" fillId="4" borderId="17" xfId="0" applyFill="1" applyBorder="1" applyAlignment="1" applyProtection="1">
      <alignment horizontal="center"/>
      <protection hidden="1"/>
    </xf>
    <xf numFmtId="0" fontId="0" fillId="4" borderId="0" xfId="0" applyFill="1" applyAlignment="1" applyProtection="1">
      <alignment horizontal="left" vertical="center"/>
      <protection hidden="1"/>
    </xf>
    <xf numFmtId="0" fontId="0" fillId="4" borderId="0" xfId="0" applyFill="1" applyAlignment="1" applyProtection="1">
      <alignment horizontal="center" vertical="center"/>
      <protection hidden="1"/>
    </xf>
    <xf numFmtId="0" fontId="0" fillId="4" borderId="18" xfId="0" applyNumberFormat="1" applyFill="1" applyBorder="1" applyAlignment="1" applyProtection="1">
      <alignment horizontal="center" vertical="center"/>
      <protection hidden="1"/>
    </xf>
    <xf numFmtId="0" fontId="0" fillId="4" borderId="16" xfId="0" applyFill="1" applyBorder="1" applyAlignment="1" applyProtection="1">
      <alignment horizontal="center"/>
      <protection hidden="1"/>
    </xf>
    <xf numFmtId="0" fontId="12" fillId="4" borderId="17" xfId="0" applyFont="1" applyFill="1" applyBorder="1" applyAlignment="1" applyProtection="1">
      <alignment horizontal="center" vertical="center"/>
      <protection hidden="1"/>
    </xf>
    <xf numFmtId="0" fontId="0" fillId="4" borderId="17" xfId="0" applyFill="1" applyBorder="1" applyAlignment="1" applyProtection="1">
      <alignment horizontal="center" vertical="center"/>
      <protection hidden="1"/>
    </xf>
    <xf numFmtId="0" fontId="14" fillId="4" borderId="16" xfId="0" applyFont="1" applyFill="1" applyBorder="1" applyAlignment="1" applyProtection="1">
      <alignment horizontal="center"/>
      <protection hidden="1"/>
    </xf>
    <xf numFmtId="0" fontId="12" fillId="4" borderId="18" xfId="0" applyFont="1" applyFill="1" applyBorder="1" applyAlignment="1" applyProtection="1">
      <alignment horizontal="center" vertical="center"/>
      <protection hidden="1"/>
    </xf>
    <xf numFmtId="0" fontId="0" fillId="4" borderId="19" xfId="0" applyFill="1" applyBorder="1" applyAlignment="1" applyProtection="1">
      <alignment horizontal="center" vertical="center"/>
      <protection hidden="1"/>
    </xf>
    <xf numFmtId="0" fontId="0" fillId="4" borderId="20" xfId="0" applyFill="1" applyBorder="1" applyAlignment="1" applyProtection="1">
      <alignment horizontal="center" vertical="center"/>
      <protection hidden="1"/>
    </xf>
    <xf numFmtId="0" fontId="0" fillId="4" borderId="21" xfId="0" applyFill="1" applyBorder="1" applyAlignment="1" applyProtection="1">
      <alignment horizontal="center"/>
      <protection hidden="1"/>
    </xf>
    <xf numFmtId="0" fontId="12" fillId="4" borderId="1" xfId="0" applyFont="1" applyFill="1" applyBorder="1" applyAlignment="1" applyProtection="1">
      <alignment horizontal="center" vertical="center"/>
      <protection locked="0"/>
    </xf>
    <xf numFmtId="0" fontId="0" fillId="4" borderId="22" xfId="0" applyFill="1" applyBorder="1" applyAlignment="1" applyProtection="1">
      <alignment horizontal="center" vertical="center"/>
      <protection hidden="1"/>
    </xf>
    <xf numFmtId="0" fontId="0" fillId="0" borderId="17" xfId="0" applyBorder="1"/>
    <xf numFmtId="0" fontId="0" fillId="4" borderId="23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/>
    <xf numFmtId="0" fontId="0" fillId="0" borderId="0" xfId="0" applyFill="1" applyBorder="1" applyAlignment="1" applyProtection="1">
      <alignment horizontal="center"/>
      <protection hidden="1"/>
    </xf>
    <xf numFmtId="164" fontId="0" fillId="0" borderId="0" xfId="0" applyNumberFormat="1" applyFill="1" applyBorder="1" applyAlignment="1" applyProtection="1">
      <alignment horizontal="center"/>
      <protection hidden="1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0" fillId="4" borderId="18" xfId="0" applyFill="1" applyBorder="1" applyAlignment="1" applyProtection="1">
      <alignment horizontal="center" vertical="center"/>
      <protection hidden="1"/>
    </xf>
    <xf numFmtId="0" fontId="0" fillId="0" borderId="18" xfId="0" applyFill="1" applyBorder="1" applyAlignment="1" applyProtection="1">
      <alignment horizontal="center" vertical="center"/>
      <protection hidden="1"/>
    </xf>
    <xf numFmtId="0" fontId="0" fillId="0" borderId="18" xfId="0" applyFill="1" applyBorder="1" applyAlignment="1" applyProtection="1">
      <alignment horizontal="center"/>
      <protection hidden="1"/>
    </xf>
    <xf numFmtId="0" fontId="0" fillId="4" borderId="27" xfId="0" applyFill="1" applyBorder="1" applyAlignment="1" applyProtection="1">
      <alignment horizontal="center" vertical="center"/>
      <protection hidden="1"/>
    </xf>
    <xf numFmtId="0" fontId="15" fillId="4" borderId="1" xfId="0" applyFont="1" applyFill="1" applyBorder="1" applyAlignment="1" applyProtection="1">
      <alignment horizontal="center" vertical="center"/>
      <protection locked="0"/>
    </xf>
    <xf numFmtId="0" fontId="15" fillId="4" borderId="10" xfId="0" applyFont="1" applyFill="1" applyBorder="1" applyAlignment="1" applyProtection="1">
      <alignment horizontal="center" vertical="center"/>
      <protection locked="0"/>
    </xf>
    <xf numFmtId="0" fontId="0" fillId="4" borderId="12" xfId="0" applyFill="1" applyBorder="1" applyAlignment="1" applyProtection="1">
      <alignment horizontal="center" vertical="center"/>
      <protection hidden="1"/>
    </xf>
    <xf numFmtId="164" fontId="0" fillId="4" borderId="12" xfId="0" applyNumberFormat="1" applyFill="1" applyBorder="1" applyAlignment="1" applyProtection="1">
      <alignment horizontal="center" vertical="center"/>
      <protection hidden="1"/>
    </xf>
    <xf numFmtId="0" fontId="0" fillId="4" borderId="29" xfId="0" applyFill="1" applyBorder="1" applyAlignment="1" applyProtection="1">
      <alignment horizontal="center" vertical="center"/>
      <protection hidden="1"/>
    </xf>
    <xf numFmtId="0" fontId="0" fillId="4" borderId="30" xfId="0" applyFill="1" applyBorder="1" applyAlignment="1" applyProtection="1">
      <alignment horizontal="center" vertical="center"/>
      <protection hidden="1"/>
    </xf>
    <xf numFmtId="0" fontId="15" fillId="4" borderId="30" xfId="0" applyFont="1" applyFill="1" applyBorder="1" applyAlignment="1" applyProtection="1">
      <alignment horizontal="center" vertical="center"/>
      <protection locked="0"/>
    </xf>
    <xf numFmtId="0" fontId="15" fillId="4" borderId="31" xfId="0" applyFont="1" applyFill="1" applyBorder="1" applyAlignment="1" applyProtection="1">
      <alignment horizontal="center" vertical="center"/>
      <protection locked="0"/>
    </xf>
    <xf numFmtId="164" fontId="0" fillId="4" borderId="32" xfId="0" applyNumberFormat="1" applyFill="1" applyBorder="1" applyAlignment="1" applyProtection="1">
      <alignment horizontal="center" vertical="center"/>
      <protection hidden="1"/>
    </xf>
    <xf numFmtId="164" fontId="0" fillId="4" borderId="33" xfId="0" applyNumberFormat="1" applyFill="1" applyBorder="1" applyAlignment="1" applyProtection="1">
      <alignment horizontal="center" vertical="center"/>
      <protection hidden="1"/>
    </xf>
    <xf numFmtId="164" fontId="0" fillId="4" borderId="30" xfId="0" applyNumberFormat="1" applyFill="1" applyBorder="1" applyAlignment="1" applyProtection="1">
      <alignment horizontal="center"/>
      <protection hidden="1"/>
    </xf>
    <xf numFmtId="0" fontId="13" fillId="4" borderId="30" xfId="0" applyFont="1" applyFill="1" applyBorder="1" applyAlignment="1" applyProtection="1">
      <alignment horizontal="center" vertical="center"/>
      <protection locked="0"/>
    </xf>
    <xf numFmtId="0" fontId="13" fillId="4" borderId="31" xfId="0" applyFont="1" applyFill="1" applyBorder="1" applyAlignment="1" applyProtection="1">
      <alignment horizontal="center" vertical="center"/>
      <protection locked="0"/>
    </xf>
    <xf numFmtId="0" fontId="0" fillId="4" borderId="31" xfId="0" applyFill="1" applyBorder="1" applyAlignment="1" applyProtection="1">
      <alignment horizontal="center" vertical="center"/>
      <protection hidden="1"/>
    </xf>
    <xf numFmtId="0" fontId="0" fillId="4" borderId="33" xfId="0" applyFill="1" applyBorder="1" applyAlignment="1" applyProtection="1">
      <alignment horizontal="center" vertical="center"/>
      <protection hidden="1"/>
    </xf>
    <xf numFmtId="0" fontId="3" fillId="0" borderId="3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0" fillId="4" borderId="31" xfId="0" applyFill="1" applyBorder="1" applyAlignment="1" applyProtection="1">
      <alignment vertical="center"/>
      <protection hidden="1"/>
    </xf>
    <xf numFmtId="0" fontId="0" fillId="4" borderId="11" xfId="0" applyNumberFormat="1" applyFill="1" applyBorder="1" applyAlignment="1" applyProtection="1">
      <alignment horizontal="center" vertical="center"/>
      <protection hidden="1"/>
    </xf>
    <xf numFmtId="0" fontId="10" fillId="3" borderId="24" xfId="0" applyFont="1" applyFill="1" applyBorder="1" applyAlignment="1" applyProtection="1">
      <alignment horizontal="center" vertical="center"/>
      <protection hidden="1"/>
    </xf>
    <xf numFmtId="0" fontId="20" fillId="3" borderId="28" xfId="0" applyFont="1" applyFill="1" applyBorder="1" applyAlignment="1" applyProtection="1">
      <alignment horizontal="center" vertical="center"/>
      <protection hidden="1"/>
    </xf>
    <xf numFmtId="0" fontId="10" fillId="3" borderId="3" xfId="0" applyFont="1" applyFill="1" applyBorder="1" applyAlignment="1" applyProtection="1">
      <alignment horizontal="center" vertical="center"/>
      <protection hidden="1"/>
    </xf>
    <xf numFmtId="0" fontId="21" fillId="3" borderId="3" xfId="0" applyFont="1" applyFill="1" applyBorder="1" applyAlignment="1" applyProtection="1">
      <alignment horizontal="center" vertical="center"/>
      <protection hidden="1"/>
    </xf>
    <xf numFmtId="0" fontId="10" fillId="3" borderId="25" xfId="0" applyFont="1" applyFill="1" applyBorder="1" applyAlignment="1" applyProtection="1">
      <alignment horizontal="center" vertical="center"/>
      <protection hidden="1"/>
    </xf>
    <xf numFmtId="0" fontId="10" fillId="3" borderId="26" xfId="0" applyFont="1" applyFill="1" applyBorder="1" applyAlignment="1" applyProtection="1">
      <alignment horizontal="center" vertical="center"/>
      <protection hidden="1"/>
    </xf>
    <xf numFmtId="0" fontId="10" fillId="3" borderId="12" xfId="0" applyFont="1" applyFill="1" applyBorder="1" applyAlignment="1" applyProtection="1">
      <alignment horizontal="center"/>
      <protection hidden="1"/>
    </xf>
    <xf numFmtId="0" fontId="10" fillId="3" borderId="32" xfId="0" applyFont="1" applyFill="1" applyBorder="1" applyAlignment="1" applyProtection="1">
      <alignment horizontal="center"/>
      <protection hidden="1"/>
    </xf>
    <xf numFmtId="0" fontId="21" fillId="3" borderId="28" xfId="0" applyFont="1" applyFill="1" applyBorder="1" applyAlignment="1" applyProtection="1">
      <alignment horizontal="center" vertical="center"/>
      <protection hidden="1"/>
    </xf>
    <xf numFmtId="0" fontId="21" fillId="3" borderId="4" xfId="0" applyFont="1" applyFill="1" applyBorder="1" applyAlignment="1" applyProtection="1">
      <alignment horizontal="center" vertical="center"/>
      <protection locked="0"/>
    </xf>
    <xf numFmtId="0" fontId="21" fillId="3" borderId="7" xfId="0" applyFont="1" applyFill="1" applyBorder="1" applyAlignment="1" applyProtection="1">
      <alignment horizontal="center" vertical="center"/>
      <protection hidden="1"/>
    </xf>
    <xf numFmtId="0" fontId="10" fillId="3" borderId="1" xfId="0" applyFont="1" applyFill="1" applyBorder="1" applyAlignment="1" applyProtection="1">
      <alignment horizontal="center" vertical="center"/>
      <protection hidden="1"/>
    </xf>
    <xf numFmtId="0" fontId="10" fillId="3" borderId="10" xfId="0" applyFont="1" applyFill="1" applyBorder="1" applyAlignment="1" applyProtection="1">
      <alignment horizontal="center"/>
      <protection hidden="1"/>
    </xf>
    <xf numFmtId="0" fontId="11" fillId="3" borderId="34" xfId="0" applyFont="1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9" fillId="3" borderId="34" xfId="0" applyFont="1" applyFill="1" applyBorder="1" applyAlignment="1">
      <alignment horizontal="center" vertical="center"/>
    </xf>
    <xf numFmtId="164" fontId="12" fillId="4" borderId="1" xfId="0" applyNumberFormat="1" applyFont="1" applyFill="1" applyBorder="1" applyAlignment="1" applyProtection="1">
      <alignment horizontal="center" vertical="center"/>
      <protection locked="0"/>
    </xf>
    <xf numFmtId="164" fontId="12" fillId="4" borderId="30" xfId="0" applyNumberFormat="1" applyFont="1" applyFill="1" applyBorder="1" applyAlignment="1" applyProtection="1">
      <alignment horizontal="center" vertical="center"/>
      <protection locked="0"/>
    </xf>
    <xf numFmtId="0" fontId="21" fillId="3" borderId="1" xfId="0" applyFont="1" applyFill="1" applyBorder="1" applyAlignment="1" applyProtection="1">
      <alignment horizontal="center" vertical="center"/>
      <protection hidden="1"/>
    </xf>
    <xf numFmtId="0" fontId="10" fillId="3" borderId="1" xfId="0" applyFont="1" applyFill="1" applyBorder="1" applyAlignment="1" applyProtection="1">
      <alignment horizontal="center"/>
      <protection hidden="1"/>
    </xf>
    <xf numFmtId="0" fontId="0" fillId="0" borderId="18" xfId="0" applyBorder="1"/>
    <xf numFmtId="164" fontId="0" fillId="4" borderId="1" xfId="0" applyNumberFormat="1" applyFill="1" applyBorder="1" applyAlignment="1" applyProtection="1">
      <alignment horizontal="center" vertical="center"/>
      <protection hidden="1"/>
    </xf>
    <xf numFmtId="0" fontId="0" fillId="0" borderId="30" xfId="0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2" fillId="0" borderId="40" xfId="0" applyFont="1" applyBorder="1"/>
    <xf numFmtId="0" fontId="8" fillId="0" borderId="34" xfId="0" applyFont="1" applyBorder="1" applyAlignment="1">
      <alignment horizontal="center" vertical="center"/>
    </xf>
    <xf numFmtId="164" fontId="0" fillId="4" borderId="30" xfId="0" applyNumberFormat="1" applyFill="1" applyBorder="1" applyAlignment="1" applyProtection="1">
      <alignment horizontal="center" vertical="center"/>
      <protection hidden="1"/>
    </xf>
    <xf numFmtId="11" fontId="3" fillId="0" borderId="34" xfId="0" applyNumberFormat="1" applyFont="1" applyBorder="1" applyAlignment="1">
      <alignment horizontal="center" vertical="center"/>
    </xf>
    <xf numFmtId="0" fontId="12" fillId="4" borderId="1" xfId="0" applyFont="1" applyFill="1" applyBorder="1" applyAlignment="1" applyProtection="1">
      <alignment horizontal="center" vertical="center"/>
    </xf>
    <xf numFmtId="0" fontId="0" fillId="0" borderId="14" xfId="0" applyNumberFormat="1" applyFill="1" applyBorder="1" applyAlignment="1" applyProtection="1">
      <alignment horizontal="center" vertical="center"/>
      <protection hidden="1"/>
    </xf>
    <xf numFmtId="0" fontId="0" fillId="0" borderId="14" xfId="0" applyNumberFormat="1" applyBorder="1"/>
    <xf numFmtId="0" fontId="12" fillId="0" borderId="14" xfId="0" applyNumberFormat="1" applyFont="1" applyFill="1" applyBorder="1" applyAlignment="1" applyProtection="1">
      <alignment horizontal="center" vertical="center"/>
    </xf>
    <xf numFmtId="0" fontId="0" fillId="0" borderId="15" xfId="0" applyNumberForma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NumberFormat="1" applyFill="1" applyBorder="1" applyAlignment="1">
      <alignment horizontal="center" vertical="center"/>
    </xf>
    <xf numFmtId="0" fontId="0" fillId="0" borderId="17" xfId="0" applyNumberFormat="1" applyBorder="1" applyAlignment="1">
      <alignment horizontal="center"/>
    </xf>
    <xf numFmtId="0" fontId="10" fillId="5" borderId="0" xfId="0" applyNumberFormat="1" applyFont="1" applyFill="1" applyBorder="1" applyAlignment="1">
      <alignment horizontal="center" vertical="center"/>
    </xf>
    <xf numFmtId="0" fontId="0" fillId="0" borderId="17" xfId="0" applyNumberFormat="1" applyBorder="1"/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6" borderId="20" xfId="0" applyNumberFormat="1" applyFill="1" applyBorder="1" applyAlignment="1">
      <alignment horizontal="center" vertical="center"/>
    </xf>
    <xf numFmtId="0" fontId="0" fillId="0" borderId="20" xfId="0" applyNumberFormat="1" applyBorder="1"/>
    <xf numFmtId="0" fontId="0" fillId="0" borderId="21" xfId="0" applyNumberFormat="1" applyBorder="1"/>
    <xf numFmtId="0" fontId="0" fillId="0" borderId="0" xfId="0" applyFill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9" fontId="0" fillId="0" borderId="0" xfId="2" applyFont="1" applyAlignment="1">
      <alignment horizontal="center" vertical="center"/>
    </xf>
    <xf numFmtId="11" fontId="6" fillId="0" borderId="34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6" fillId="7" borderId="34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hidden="1"/>
    </xf>
    <xf numFmtId="0" fontId="10" fillId="3" borderId="34" xfId="0" applyFont="1" applyFill="1" applyBorder="1" applyAlignment="1">
      <alignment horizontal="center" vertical="center"/>
    </xf>
    <xf numFmtId="0" fontId="10" fillId="3" borderId="26" xfId="0" applyFont="1" applyFill="1" applyBorder="1" applyAlignment="1" applyProtection="1">
      <alignment horizontal="center" vertical="center"/>
      <protection hidden="1"/>
    </xf>
    <xf numFmtId="11" fontId="0" fillId="0" borderId="14" xfId="0" applyNumberFormat="1" applyBorder="1"/>
    <xf numFmtId="11" fontId="0" fillId="0" borderId="0" xfId="0" applyNumberFormat="1" applyBorder="1"/>
    <xf numFmtId="0" fontId="0" fillId="0" borderId="4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4" borderId="11" xfId="0" applyFont="1" applyFill="1" applyBorder="1" applyAlignment="1" applyProtection="1">
      <alignment horizontal="center" vertical="center"/>
      <protection locked="0"/>
    </xf>
    <xf numFmtId="0" fontId="15" fillId="3" borderId="11" xfId="0" applyFont="1" applyFill="1" applyBorder="1" applyAlignment="1" applyProtection="1">
      <alignment horizontal="center" vertical="center"/>
      <protection locked="0"/>
    </xf>
    <xf numFmtId="0" fontId="15" fillId="3" borderId="33" xfId="0" applyFont="1" applyFill="1" applyBorder="1" applyAlignment="1" applyProtection="1">
      <alignment horizontal="center" vertical="center"/>
      <protection locked="0"/>
    </xf>
    <xf numFmtId="0" fontId="26" fillId="0" borderId="12" xfId="0" applyFont="1" applyFill="1" applyBorder="1" applyAlignment="1" applyProtection="1">
      <alignment horizontal="center" vertical="center"/>
      <protection hidden="1"/>
    </xf>
    <xf numFmtId="0" fontId="26" fillId="9" borderId="12" xfId="0" applyFont="1" applyFill="1" applyBorder="1" applyAlignment="1" applyProtection="1">
      <alignment horizontal="center" vertical="center"/>
      <protection hidden="1"/>
    </xf>
    <xf numFmtId="0" fontId="26" fillId="9" borderId="32" xfId="0" applyFont="1" applyFill="1" applyBorder="1" applyAlignment="1">
      <alignment horizontal="center" vertical="center"/>
    </xf>
    <xf numFmtId="11" fontId="8" fillId="0" borderId="34" xfId="0" applyNumberFormat="1" applyFont="1" applyFill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165" fontId="0" fillId="0" borderId="34" xfId="0" applyNumberFormat="1" applyBorder="1" applyAlignment="1">
      <alignment horizontal="center" vertical="center"/>
    </xf>
    <xf numFmtId="0" fontId="22" fillId="3" borderId="34" xfId="0" applyFont="1" applyFill="1" applyBorder="1" applyAlignment="1">
      <alignment horizontal="center" vertical="center"/>
    </xf>
    <xf numFmtId="0" fontId="27" fillId="3" borderId="34" xfId="0" applyFont="1" applyFill="1" applyBorder="1" applyAlignment="1">
      <alignment horizontal="center" vertical="center"/>
    </xf>
    <xf numFmtId="0" fontId="28" fillId="3" borderId="34" xfId="0" applyFont="1" applyFill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54" xfId="0" applyBorder="1"/>
    <xf numFmtId="0" fontId="10" fillId="3" borderId="55" xfId="0" applyFont="1" applyFill="1" applyBorder="1" applyAlignment="1" applyProtection="1">
      <alignment horizontal="center"/>
      <protection hidden="1"/>
    </xf>
    <xf numFmtId="0" fontId="10" fillId="3" borderId="56" xfId="0" applyFont="1" applyFill="1" applyBorder="1" applyAlignment="1" applyProtection="1">
      <alignment horizontal="center"/>
      <protection hidden="1"/>
    </xf>
    <xf numFmtId="0" fontId="0" fillId="0" borderId="50" xfId="0" applyBorder="1"/>
    <xf numFmtId="0" fontId="0" fillId="0" borderId="57" xfId="0" applyNumberFormat="1" applyBorder="1"/>
    <xf numFmtId="0" fontId="0" fillId="0" borderId="50" xfId="0" applyNumberFormat="1" applyBorder="1"/>
    <xf numFmtId="0" fontId="0" fillId="0" borderId="50" xfId="0" applyNumberFormat="1" applyBorder="1" applyAlignment="1">
      <alignment horizontal="center" vertical="center"/>
    </xf>
    <xf numFmtId="0" fontId="0" fillId="6" borderId="50" xfId="0" applyNumberFormat="1" applyFill="1" applyBorder="1" applyAlignment="1">
      <alignment horizontal="center" vertical="center"/>
    </xf>
    <xf numFmtId="0" fontId="0" fillId="0" borderId="58" xfId="0" applyNumberFormat="1" applyBorder="1" applyAlignment="1">
      <alignment horizontal="center" vertical="center"/>
    </xf>
    <xf numFmtId="0" fontId="0" fillId="0" borderId="59" xfId="0" applyBorder="1"/>
    <xf numFmtId="0" fontId="25" fillId="0" borderId="0" xfId="0" applyFont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16" xfId="0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165" fontId="0" fillId="0" borderId="45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59" xfId="0" applyFill="1" applyBorder="1"/>
    <xf numFmtId="0" fontId="10" fillId="3" borderId="3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165" fontId="2" fillId="0" borderId="34" xfId="0" applyNumberFormat="1" applyFont="1" applyBorder="1" applyAlignment="1">
      <alignment horizontal="center" vertical="center"/>
    </xf>
    <xf numFmtId="0" fontId="22" fillId="0" borderId="0" xfId="0" applyFont="1" applyBorder="1"/>
    <xf numFmtId="11" fontId="22" fillId="0" borderId="0" xfId="0" applyNumberFormat="1" applyFont="1" applyBorder="1"/>
    <xf numFmtId="165" fontId="0" fillId="9" borderId="34" xfId="0" applyNumberFormat="1" applyFill="1" applyBorder="1" applyAlignment="1">
      <alignment horizontal="center" vertical="center"/>
    </xf>
    <xf numFmtId="0" fontId="10" fillId="3" borderId="48" xfId="0" applyFont="1" applyFill="1" applyBorder="1" applyAlignment="1" applyProtection="1">
      <alignment horizontal="center"/>
      <protection hidden="1"/>
    </xf>
    <xf numFmtId="0" fontId="10" fillId="0" borderId="0" xfId="0" applyFont="1" applyFill="1" applyBorder="1" applyAlignment="1" applyProtection="1">
      <alignment horizontal="center"/>
      <protection hidden="1"/>
    </xf>
    <xf numFmtId="165" fontId="0" fillId="0" borderId="0" xfId="0" applyNumberFormat="1" applyFill="1" applyBorder="1" applyAlignment="1" applyProtection="1">
      <alignment horizontal="center" vertical="center"/>
      <protection hidden="1"/>
    </xf>
    <xf numFmtId="164" fontId="0" fillId="4" borderId="48" xfId="0" applyNumberFormat="1" applyFill="1" applyBorder="1" applyAlignment="1" applyProtection="1">
      <alignment horizontal="center" vertical="center"/>
      <protection hidden="1"/>
    </xf>
    <xf numFmtId="164" fontId="0" fillId="4" borderId="49" xfId="0" applyNumberFormat="1" applyFill="1" applyBorder="1" applyAlignment="1" applyProtection="1">
      <alignment horizontal="center" vertical="center"/>
      <protection hidden="1"/>
    </xf>
    <xf numFmtId="0" fontId="10" fillId="0" borderId="0" xfId="0" applyFont="1" applyFill="1" applyBorder="1" applyAlignment="1" applyProtection="1">
      <alignment vertical="center"/>
      <protection hidden="1"/>
    </xf>
    <xf numFmtId="0" fontId="10" fillId="0" borderId="0" xfId="0" applyFont="1" applyFill="1" applyBorder="1" applyAlignment="1" applyProtection="1">
      <protection hidden="1"/>
    </xf>
    <xf numFmtId="164" fontId="0" fillId="0" borderId="0" xfId="0" applyNumberFormat="1" applyFill="1" applyBorder="1" applyAlignment="1">
      <alignment vertical="center"/>
    </xf>
    <xf numFmtId="0" fontId="10" fillId="3" borderId="11" xfId="0" applyFont="1" applyFill="1" applyBorder="1" applyAlignment="1" applyProtection="1">
      <alignment horizontal="center"/>
      <protection hidden="1"/>
    </xf>
    <xf numFmtId="0" fontId="0" fillId="0" borderId="1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1" fillId="3" borderId="2" xfId="0" applyFont="1" applyFill="1" applyBorder="1" applyAlignment="1" applyProtection="1">
      <alignment horizontal="center" textRotation="20"/>
      <protection hidden="1"/>
    </xf>
    <xf numFmtId="0" fontId="21" fillId="3" borderId="9" xfId="0" applyFont="1" applyFill="1" applyBorder="1" applyAlignment="1" applyProtection="1">
      <alignment horizontal="center" textRotation="20"/>
      <protection hidden="1"/>
    </xf>
    <xf numFmtId="0" fontId="10" fillId="3" borderId="3" xfId="0" applyFont="1" applyFill="1" applyBorder="1" applyAlignment="1" applyProtection="1">
      <alignment horizontal="center" vertical="center"/>
      <protection hidden="1"/>
    </xf>
    <xf numFmtId="0" fontId="10" fillId="3" borderId="7" xfId="0" applyFont="1" applyFill="1" applyBorder="1" applyAlignment="1" applyProtection="1">
      <alignment horizontal="center" vertical="center"/>
      <protection hidden="1"/>
    </xf>
    <xf numFmtId="0" fontId="10" fillId="3" borderId="4" xfId="0" applyFont="1" applyFill="1" applyBorder="1" applyAlignment="1" applyProtection="1">
      <alignment horizontal="center"/>
      <protection hidden="1"/>
    </xf>
    <xf numFmtId="0" fontId="10" fillId="3" borderId="5" xfId="0" applyFont="1" applyFill="1" applyBorder="1" applyAlignment="1" applyProtection="1">
      <alignment horizontal="center"/>
      <protection hidden="1"/>
    </xf>
    <xf numFmtId="0" fontId="10" fillId="3" borderId="4" xfId="0" applyFont="1" applyFill="1" applyBorder="1" applyAlignment="1" applyProtection="1">
      <alignment horizontal="center" vertical="center"/>
      <protection hidden="1"/>
    </xf>
    <xf numFmtId="0" fontId="10" fillId="3" borderId="10" xfId="0" applyFont="1" applyFill="1" applyBorder="1" applyAlignment="1" applyProtection="1">
      <alignment horizontal="center" vertical="center"/>
      <protection hidden="1"/>
    </xf>
    <xf numFmtId="0" fontId="20" fillId="3" borderId="26" xfId="0" applyFont="1" applyFill="1" applyBorder="1" applyAlignment="1" applyProtection="1">
      <alignment horizontal="center" vertical="center"/>
      <protection hidden="1"/>
    </xf>
    <xf numFmtId="0" fontId="20" fillId="3" borderId="11" xfId="0" applyFont="1" applyFill="1" applyBorder="1" applyAlignment="1" applyProtection="1">
      <alignment horizontal="center" vertical="center"/>
      <protection hidden="1"/>
    </xf>
    <xf numFmtId="0" fontId="10" fillId="3" borderId="35" xfId="0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8" fillId="0" borderId="34" xfId="0" applyFont="1" applyBorder="1" applyAlignment="1">
      <alignment horizontal="center"/>
    </xf>
    <xf numFmtId="0" fontId="10" fillId="3" borderId="6" xfId="0" applyFont="1" applyFill="1" applyBorder="1" applyAlignment="1" applyProtection="1">
      <alignment horizontal="center" vertical="center"/>
      <protection hidden="1"/>
    </xf>
    <xf numFmtId="0" fontId="10" fillId="3" borderId="8" xfId="0" applyFont="1" applyFill="1" applyBorder="1" applyAlignment="1" applyProtection="1">
      <alignment horizontal="center" vertical="center"/>
      <protection hidden="1"/>
    </xf>
    <xf numFmtId="0" fontId="8" fillId="0" borderId="3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10" fillId="3" borderId="28" xfId="0" applyFont="1" applyFill="1" applyBorder="1" applyAlignment="1" applyProtection="1">
      <alignment horizontal="center" vertical="center"/>
      <protection hidden="1"/>
    </xf>
    <xf numFmtId="0" fontId="10" fillId="3" borderId="1" xfId="0" applyFont="1" applyFill="1" applyBorder="1" applyAlignment="1" applyProtection="1">
      <alignment horizontal="center" vertical="center"/>
      <protection hidden="1"/>
    </xf>
    <xf numFmtId="0" fontId="22" fillId="3" borderId="43" xfId="0" applyFont="1" applyFill="1" applyBorder="1" applyAlignment="1">
      <alignment horizontal="center" vertical="center"/>
    </xf>
    <xf numFmtId="0" fontId="22" fillId="3" borderId="44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11" borderId="0" xfId="0" applyFill="1" applyAlignment="1">
      <alignment horizontal="center" vertical="center"/>
    </xf>
    <xf numFmtId="0" fontId="22" fillId="3" borderId="46" xfId="0" applyFont="1" applyFill="1" applyBorder="1" applyAlignment="1">
      <alignment horizontal="center"/>
    </xf>
    <xf numFmtId="0" fontId="22" fillId="3" borderId="45" xfId="0" applyFont="1" applyFill="1" applyBorder="1" applyAlignment="1">
      <alignment horizontal="center"/>
    </xf>
    <xf numFmtId="0" fontId="8" fillId="10" borderId="51" xfId="0" applyFont="1" applyFill="1" applyBorder="1" applyAlignment="1">
      <alignment horizontal="center" vertical="center"/>
    </xf>
    <xf numFmtId="0" fontId="8" fillId="10" borderId="52" xfId="0" applyFont="1" applyFill="1" applyBorder="1" applyAlignment="1">
      <alignment horizontal="center" vertical="center"/>
    </xf>
    <xf numFmtId="0" fontId="10" fillId="3" borderId="5" xfId="0" applyFont="1" applyFill="1" applyBorder="1" applyAlignment="1" applyProtection="1">
      <alignment horizontal="center" vertical="center"/>
      <protection hidden="1"/>
    </xf>
    <xf numFmtId="0" fontId="10" fillId="3" borderId="26" xfId="0" applyFont="1" applyFill="1" applyBorder="1" applyAlignment="1" applyProtection="1">
      <alignment horizontal="center" vertical="center"/>
      <protection hidden="1"/>
    </xf>
    <xf numFmtId="0" fontId="2" fillId="0" borderId="34" xfId="0" applyFont="1" applyBorder="1" applyAlignment="1">
      <alignment horizontal="center"/>
    </xf>
    <xf numFmtId="0" fontId="21" fillId="3" borderId="53" xfId="0" applyFont="1" applyFill="1" applyBorder="1" applyAlignment="1" applyProtection="1">
      <alignment horizontal="center" textRotation="20"/>
      <protection hidden="1"/>
    </xf>
    <xf numFmtId="0" fontId="21" fillId="3" borderId="55" xfId="0" applyFont="1" applyFill="1" applyBorder="1" applyAlignment="1" applyProtection="1">
      <alignment horizontal="center" textRotation="20"/>
      <protection hidden="1"/>
    </xf>
    <xf numFmtId="0" fontId="10" fillId="3" borderId="28" xfId="0" applyFont="1" applyFill="1" applyBorder="1" applyAlignment="1" applyProtection="1">
      <alignment horizontal="center"/>
      <protection hidden="1"/>
    </xf>
  </cellXfs>
  <cellStyles count="3">
    <cellStyle name="Normal" xfId="0" builtinId="0"/>
    <cellStyle name="Percent" xfId="2" builtinId="5"/>
    <cellStyle name="RowLevel_1" xfId="1" builtinId="1" iLevel="0"/>
  </cellStyles>
  <dxfs count="7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5"/>
    </mc:Choice>
    <mc:Fallback>
      <c:style val="25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effectLst/>
          </c:spPr>
          <c:marker>
            <c:symbol val="none"/>
          </c:marker>
          <c:xVal>
            <c:numRef>
              <c:f>Pushover!$AG$1:$AG$4</c:f>
              <c:numCache>
                <c:formatCode>0.00E+00</c:formatCode>
                <c:ptCount val="4"/>
                <c:pt idx="0" formatCode="General">
                  <c:v>0</c:v>
                </c:pt>
                <c:pt idx="1">
                  <c:v>7.5168632628953329</c:v>
                </c:pt>
                <c:pt idx="2">
                  <c:v>22.902071457522705</c:v>
                </c:pt>
                <c:pt idx="3">
                  <c:v>49.418062687460889</c:v>
                </c:pt>
              </c:numCache>
            </c:numRef>
          </c:xVal>
          <c:yVal>
            <c:numRef>
              <c:f>Pushover!$AH$1:$AH$4</c:f>
              <c:numCache>
                <c:formatCode>0.00E+00</c:formatCode>
                <c:ptCount val="4"/>
                <c:pt idx="0" formatCode="General">
                  <c:v>0</c:v>
                </c:pt>
                <c:pt idx="1">
                  <c:v>-30619.580627396419</c:v>
                </c:pt>
                <c:pt idx="2" formatCode="General">
                  <c:v>-42787.473120417897</c:v>
                </c:pt>
                <c:pt idx="3" formatCode="General">
                  <c:v>-19346.350359780336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440552"/>
        <c:axId val="414441728"/>
      </c:scatterChart>
      <c:valAx>
        <c:axId val="41444055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Displacement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 b="1"/>
            </a:pPr>
            <a:endParaRPr lang="en-US"/>
          </a:p>
        </c:txPr>
        <c:crossAx val="414441728"/>
        <c:crosses val="autoZero"/>
        <c:crossBetween val="midCat"/>
      </c:valAx>
      <c:valAx>
        <c:axId val="41444172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Base</a:t>
                </a:r>
                <a:r>
                  <a:rPr lang="en-US" sz="1800" baseline="0"/>
                  <a:t> shear</a:t>
                </a:r>
                <a:endParaRPr 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 b="1"/>
            </a:pPr>
            <a:endParaRPr lang="en-US"/>
          </a:p>
        </c:txPr>
        <c:crossAx val="414440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dPt>
            <c:idx val="3"/>
            <c:marker>
              <c:symbol val="circle"/>
              <c:size val="7"/>
              <c:spPr>
                <a:solidFill>
                  <a:schemeClr val="lt1"/>
                </a:solidFill>
                <a:ln w="25400" cap="flat" cmpd="sng" algn="ctr">
                  <a:solidFill>
                    <a:schemeClr val="dk1"/>
                  </a:solidFill>
                  <a:prstDash val="solid"/>
                </a:ln>
                <a:effectLst/>
              </c:spPr>
            </c:marker>
            <c:bubble3D val="0"/>
            <c:spPr>
              <a:ln w="25400" cap="flat" cmpd="sng" algn="ctr">
                <a:solidFill>
                  <a:schemeClr val="dk1"/>
                </a:solidFill>
                <a:prstDash val="solid"/>
              </a:ln>
              <a:effectLst/>
            </c:spPr>
          </c:dPt>
          <c:xVal>
            <c:numRef>
              <c:f>Pushover!$AG$53:$AG$56</c:f>
              <c:numCache>
                <c:formatCode>0.00E+00</c:formatCode>
                <c:ptCount val="4"/>
                <c:pt idx="0" formatCode="General">
                  <c:v>0</c:v>
                </c:pt>
                <c:pt idx="1">
                  <c:v>7.5168632628953329</c:v>
                </c:pt>
                <c:pt idx="2" formatCode="General">
                  <c:v>607.12034124021034</c:v>
                </c:pt>
                <c:pt idx="3" formatCode="General">
                  <c:v>600</c:v>
                </c:pt>
              </c:numCache>
            </c:numRef>
          </c:xVal>
          <c:yVal>
            <c:numRef>
              <c:f>Pushover!$AH$53:$AH$56</c:f>
              <c:numCache>
                <c:formatCode>General</c:formatCode>
                <c:ptCount val="4"/>
                <c:pt idx="0">
                  <c:v>0</c:v>
                </c:pt>
                <c:pt idx="1">
                  <c:v>500.11181558803463</c:v>
                </c:pt>
                <c:pt idx="2">
                  <c:v>299.93291064717926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00984"/>
        <c:axId val="421597848"/>
      </c:scatterChart>
      <c:valAx>
        <c:axId val="42160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21597848"/>
        <c:crosses val="autoZero"/>
        <c:crossBetween val="midCat"/>
      </c:valAx>
      <c:valAx>
        <c:axId val="421597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421600984"/>
        <c:crosses val="autoZero"/>
        <c:crossBetween val="midCat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dPt>
            <c:idx val="2"/>
            <c:marker>
              <c:symbol val="circle"/>
              <c:size val="7"/>
            </c:marker>
            <c:bubble3D val="0"/>
          </c:dPt>
          <c:dPt>
            <c:idx val="3"/>
            <c:marker>
              <c:symbol val="circle"/>
              <c:size val="7"/>
            </c:marker>
            <c:bubble3D val="0"/>
          </c:dPt>
          <c:xVal>
            <c:numRef>
              <c:f>Pushover!$AG$110:$AG$113</c:f>
              <c:numCache>
                <c:formatCode>0.00E+00</c:formatCode>
                <c:ptCount val="4"/>
                <c:pt idx="0" formatCode="General">
                  <c:v>0</c:v>
                </c:pt>
                <c:pt idx="1">
                  <c:v>22.902071457522705</c:v>
                </c:pt>
                <c:pt idx="2" formatCode="General">
                  <c:v>622.57270717513529</c:v>
                </c:pt>
                <c:pt idx="3" formatCode="General">
                  <c:v>600</c:v>
                </c:pt>
              </c:numCache>
            </c:numRef>
          </c:xVal>
          <c:yVal>
            <c:numRef>
              <c:f>Pushover!$AH$110:$AH$113</c:f>
              <c:numCache>
                <c:formatCode>General</c:formatCode>
                <c:ptCount val="4"/>
                <c:pt idx="0">
                  <c:v>0</c:v>
                </c:pt>
                <c:pt idx="1">
                  <c:v>500.15253894405453</c:v>
                </c:pt>
                <c:pt idx="2">
                  <c:v>299.90847663356726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597064"/>
        <c:axId val="421599024"/>
      </c:scatterChart>
      <c:valAx>
        <c:axId val="421597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21599024"/>
        <c:crosses val="autoZero"/>
        <c:crossBetween val="midCat"/>
      </c:valAx>
      <c:valAx>
        <c:axId val="421599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421597064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circle"/>
            <c:size val="7"/>
            <c:spPr>
              <a:solidFill>
                <a:schemeClr val="lt1"/>
              </a:solidFill>
              <a:ln w="25400" cap="flat" cmpd="sng" algn="ctr">
                <a:solidFill>
                  <a:schemeClr val="dk1"/>
                </a:solidFill>
                <a:prstDash val="solid"/>
              </a:ln>
              <a:effectLst/>
            </c:spPr>
          </c:marker>
          <c:dPt>
            <c:idx val="0"/>
            <c:marker>
              <c:symbol val="none"/>
            </c:marker>
            <c:bubble3D val="0"/>
          </c:dPt>
          <c:xVal>
            <c:numRef>
              <c:f>Pushover!$AG$168:$AG$171</c:f>
              <c:numCache>
                <c:formatCode>0.00E+00</c:formatCode>
                <c:ptCount val="4"/>
                <c:pt idx="0" formatCode="General">
                  <c:v>0</c:v>
                </c:pt>
                <c:pt idx="1">
                  <c:v>49.418062687460889</c:v>
                </c:pt>
                <c:pt idx="2" formatCode="General">
                  <c:v>649.34574514617839</c:v>
                </c:pt>
                <c:pt idx="3" formatCode="General">
                  <c:v>600</c:v>
                </c:pt>
              </c:numCache>
            </c:numRef>
          </c:xVal>
          <c:yVal>
            <c:numRef>
              <c:f>Pushover!$AH$168:$AH$171</c:f>
              <c:numCache>
                <c:formatCode>General</c:formatCode>
                <c:ptCount val="4"/>
                <c:pt idx="0">
                  <c:v>0</c:v>
                </c:pt>
                <c:pt idx="1">
                  <c:v>500.07064837262556</c:v>
                </c:pt>
                <c:pt idx="2">
                  <c:v>299.95761097642469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03336"/>
        <c:axId val="421598240"/>
      </c:scatterChart>
      <c:valAx>
        <c:axId val="421603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21598240"/>
        <c:crosses val="autoZero"/>
        <c:crossBetween val="midCat"/>
      </c:valAx>
      <c:valAx>
        <c:axId val="421598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421603336"/>
        <c:crosses val="autoZero"/>
        <c:crossBetween val="midCat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circle"/>
            <c:size val="7"/>
            <c:spPr>
              <a:solidFill>
                <a:schemeClr val="lt1"/>
              </a:solidFill>
              <a:ln w="25400" cap="flat" cmpd="sng" algn="ctr">
                <a:solidFill>
                  <a:schemeClr val="dk1"/>
                </a:solidFill>
                <a:prstDash val="solid"/>
              </a:ln>
              <a:effectLst/>
            </c:spPr>
          </c:marker>
          <c:xVal>
            <c:numRef>
              <c:f>Pushover!$AG$228:$AG$231</c:f>
              <c:numCache>
                <c:formatCode>0.00E+00</c:formatCode>
                <c:ptCount val="4"/>
                <c:pt idx="0" formatCode="General">
                  <c:v>0</c:v>
                </c:pt>
                <c:pt idx="1">
                  <c:v>277.85243716301852</c:v>
                </c:pt>
                <c:pt idx="2" formatCode="General">
                  <c:v>877.60281808624154</c:v>
                </c:pt>
                <c:pt idx="3" formatCode="General">
                  <c:v>600</c:v>
                </c:pt>
              </c:numCache>
            </c:numRef>
          </c:xVal>
          <c:yVal>
            <c:numRef>
              <c:f>Pushover!$AH$228:$AH$231</c:f>
              <c:numCache>
                <c:formatCode>General</c:formatCode>
                <c:ptCount val="4"/>
                <c:pt idx="0">
                  <c:v>0</c:v>
                </c:pt>
                <c:pt idx="1">
                  <c:v>500.2438575930243</c:v>
                </c:pt>
                <c:pt idx="2">
                  <c:v>299.85368544418543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599416"/>
        <c:axId val="421598632"/>
      </c:scatterChart>
      <c:valAx>
        <c:axId val="42159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21598632"/>
        <c:crosses val="autoZero"/>
        <c:crossBetween val="midCat"/>
      </c:valAx>
      <c:valAx>
        <c:axId val="421598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421599416"/>
        <c:crosses val="autoZero"/>
        <c:crossBetween val="midCat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133350</xdr:rowOff>
    </xdr:from>
    <xdr:to>
      <xdr:col>10</xdr:col>
      <xdr:colOff>638175</xdr:colOff>
      <xdr:row>10</xdr:row>
      <xdr:rowOff>19050</xdr:rowOff>
    </xdr:to>
    <xdr:grpSp>
      <xdr:nvGrpSpPr>
        <xdr:cNvPr id="19" name="Group 18"/>
        <xdr:cNvGrpSpPr/>
      </xdr:nvGrpSpPr>
      <xdr:grpSpPr>
        <a:xfrm>
          <a:off x="3505200" y="133350"/>
          <a:ext cx="3505200" cy="1790700"/>
          <a:chOff x="3952875" y="133350"/>
          <a:chExt cx="3914775" cy="1743075"/>
        </a:xfrm>
      </xdr:grpSpPr>
      <xdr:sp macro="" textlink="">
        <xdr:nvSpPr>
          <xdr:cNvPr id="2" name="Rectangle 1"/>
          <xdr:cNvSpPr/>
        </xdr:nvSpPr>
        <xdr:spPr>
          <a:xfrm>
            <a:off x="3952875" y="133350"/>
            <a:ext cx="3914775" cy="1743075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endParaRPr lang="fa-IR" sz="1100"/>
          </a:p>
        </xdr:txBody>
      </xdr:sp>
      <xdr:cxnSp macro="">
        <xdr:nvCxnSpPr>
          <xdr:cNvPr id="4" name="Straight Connector 3"/>
          <xdr:cNvCxnSpPr/>
        </xdr:nvCxnSpPr>
        <xdr:spPr>
          <a:xfrm>
            <a:off x="4314825" y="904875"/>
            <a:ext cx="2438400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Isosceles Triangle 4"/>
          <xdr:cNvSpPr/>
        </xdr:nvSpPr>
        <xdr:spPr>
          <a:xfrm>
            <a:off x="4267200" y="904875"/>
            <a:ext cx="123825" cy="266700"/>
          </a:xfrm>
          <a:prstGeom prst="triangl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endParaRPr lang="fa-IR" sz="1100"/>
          </a:p>
        </xdr:txBody>
      </xdr:sp>
      <xdr:sp macro="" textlink="">
        <xdr:nvSpPr>
          <xdr:cNvPr id="6" name="Oval 5"/>
          <xdr:cNvSpPr/>
        </xdr:nvSpPr>
        <xdr:spPr>
          <a:xfrm>
            <a:off x="6657976" y="914400"/>
            <a:ext cx="190500" cy="16192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endParaRPr lang="fa-IR" sz="1100"/>
          </a:p>
        </xdr:txBody>
      </xdr:sp>
      <xdr:cxnSp macro="">
        <xdr:nvCxnSpPr>
          <xdr:cNvPr id="8" name="Straight Connector 7"/>
          <xdr:cNvCxnSpPr/>
        </xdr:nvCxnSpPr>
        <xdr:spPr>
          <a:xfrm>
            <a:off x="6581775" y="1085850"/>
            <a:ext cx="371475" cy="1588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9" name="Rectangle 8"/>
          <xdr:cNvSpPr/>
        </xdr:nvSpPr>
        <xdr:spPr>
          <a:xfrm>
            <a:off x="4333875" y="666750"/>
            <a:ext cx="2390775" cy="209550"/>
          </a:xfrm>
          <a:prstGeom prst="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endParaRPr lang="fa-IR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505450" y="514350"/>
            <a:ext cx="390525" cy="133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1" anchor="ctr"/>
          <a:lstStyle/>
          <a:p>
            <a:pPr algn="ctr"/>
            <a:r>
              <a:rPr lang="en-US" sz="1400" b="1"/>
              <a:t>w</a:t>
            </a:r>
            <a:endParaRPr lang="fa-IR" sz="1400" b="1"/>
          </a:p>
        </xdr:txBody>
      </xdr:sp>
      <xdr:cxnSp macro="">
        <xdr:nvCxnSpPr>
          <xdr:cNvPr id="12" name="Straight Arrow Connector 11"/>
          <xdr:cNvCxnSpPr/>
        </xdr:nvCxnSpPr>
        <xdr:spPr>
          <a:xfrm>
            <a:off x="4305300" y="1285875"/>
            <a:ext cx="2524125" cy="9525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TextBox 13"/>
          <xdr:cNvSpPr txBox="1"/>
        </xdr:nvSpPr>
        <xdr:spPr>
          <a:xfrm>
            <a:off x="5372100" y="1171575"/>
            <a:ext cx="447675" cy="2000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1" anchor="ctr"/>
          <a:lstStyle/>
          <a:p>
            <a:pPr algn="ctr"/>
            <a:r>
              <a:rPr lang="en-US" sz="1400" b="1"/>
              <a:t>L</a:t>
            </a:r>
            <a:endParaRPr lang="fa-IR" sz="1400" b="1"/>
          </a:p>
        </xdr:txBody>
      </xdr:sp>
      <xdr:cxnSp macro="">
        <xdr:nvCxnSpPr>
          <xdr:cNvPr id="18" name="Straight Connector 17"/>
          <xdr:cNvCxnSpPr/>
        </xdr:nvCxnSpPr>
        <xdr:spPr>
          <a:xfrm rot="5400000">
            <a:off x="4219575" y="1285875"/>
            <a:ext cx="190500" cy="158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 rot="5400000">
            <a:off x="6734175" y="1295400"/>
            <a:ext cx="190500" cy="158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" name="Rectangle 21"/>
          <xdr:cNvSpPr/>
        </xdr:nvSpPr>
        <xdr:spPr>
          <a:xfrm>
            <a:off x="7115175" y="619125"/>
            <a:ext cx="257175" cy="3238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endParaRPr lang="fa-IR" sz="1100"/>
          </a:p>
        </xdr:txBody>
      </xdr:sp>
      <xdr:cxnSp macro="">
        <xdr:nvCxnSpPr>
          <xdr:cNvPr id="26" name="Straight Arrow Connector 25"/>
          <xdr:cNvCxnSpPr/>
        </xdr:nvCxnSpPr>
        <xdr:spPr>
          <a:xfrm rot="5400000">
            <a:off x="7367588" y="785812"/>
            <a:ext cx="352425" cy="1588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Arrow Connector 27"/>
          <xdr:cNvCxnSpPr/>
        </xdr:nvCxnSpPr>
        <xdr:spPr>
          <a:xfrm>
            <a:off x="7105650" y="1104900"/>
            <a:ext cx="295275" cy="1588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" name="TextBox 28"/>
          <xdr:cNvSpPr txBox="1"/>
        </xdr:nvSpPr>
        <xdr:spPr>
          <a:xfrm>
            <a:off x="7477125" y="704850"/>
            <a:ext cx="104775" cy="1524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1" anchor="ctr"/>
          <a:lstStyle/>
          <a:p>
            <a:pPr algn="ctr"/>
            <a:r>
              <a:rPr lang="en-US" sz="1100" b="1"/>
              <a:t>h</a:t>
            </a:r>
            <a:endParaRPr lang="fa-IR" sz="1100" b="1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7181849" y="990600"/>
            <a:ext cx="114301" cy="2190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1" anchor="ctr"/>
          <a:lstStyle/>
          <a:p>
            <a:pPr algn="ctr"/>
            <a:r>
              <a:rPr lang="en-US" sz="1100" b="1"/>
              <a:t>b</a:t>
            </a:r>
            <a:endParaRPr lang="fa-IR" sz="11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660918</xdr:colOff>
      <xdr:row>13</xdr:row>
      <xdr:rowOff>68036</xdr:rowOff>
    </xdr:from>
    <xdr:to>
      <xdr:col>2</xdr:col>
      <xdr:colOff>242985</xdr:colOff>
      <xdr:row>13</xdr:row>
      <xdr:rowOff>174949</xdr:rowOff>
    </xdr:to>
    <xdr:cxnSp macro="">
      <xdr:nvCxnSpPr>
        <xdr:cNvPr id="3" name="Straight Arrow Connector 2"/>
        <xdr:cNvCxnSpPr/>
      </xdr:nvCxnSpPr>
      <xdr:spPr>
        <a:xfrm flipV="1">
          <a:off x="1350995" y="2196582"/>
          <a:ext cx="272143" cy="1069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</xdr:row>
      <xdr:rowOff>142875</xdr:rowOff>
    </xdr:from>
    <xdr:to>
      <xdr:col>9</xdr:col>
      <xdr:colOff>228600</xdr:colOff>
      <xdr:row>16</xdr:row>
      <xdr:rowOff>57150</xdr:rowOff>
    </xdr:to>
    <xdr:sp macro="" textlink="">
      <xdr:nvSpPr>
        <xdr:cNvPr id="4" name="Rectangle 3"/>
        <xdr:cNvSpPr/>
      </xdr:nvSpPr>
      <xdr:spPr>
        <a:xfrm>
          <a:off x="3829050" y="523875"/>
          <a:ext cx="3152775" cy="25431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1" anchor="ctr"/>
        <a:lstStyle/>
        <a:p>
          <a:pPr algn="ctr"/>
          <a:endParaRPr lang="fa-IR" sz="1100"/>
        </a:p>
      </xdr:txBody>
    </xdr:sp>
    <xdr:clientData/>
  </xdr:twoCellAnchor>
  <xdr:twoCellAnchor>
    <xdr:from>
      <xdr:col>5</xdr:col>
      <xdr:colOff>247651</xdr:colOff>
      <xdr:row>5</xdr:row>
      <xdr:rowOff>19049</xdr:rowOff>
    </xdr:from>
    <xdr:to>
      <xdr:col>6</xdr:col>
      <xdr:colOff>628651</xdr:colOff>
      <xdr:row>12</xdr:row>
      <xdr:rowOff>66674</xdr:rowOff>
    </xdr:to>
    <xdr:cxnSp macro="">
      <xdr:nvCxnSpPr>
        <xdr:cNvPr id="6" name="Straight Connector 5"/>
        <xdr:cNvCxnSpPr/>
      </xdr:nvCxnSpPr>
      <xdr:spPr>
        <a:xfrm rot="16200000" flipH="1">
          <a:off x="4100513" y="1128712"/>
          <a:ext cx="1381125" cy="10668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5</xdr:row>
      <xdr:rowOff>28575</xdr:rowOff>
    </xdr:from>
    <xdr:to>
      <xdr:col>8</xdr:col>
      <xdr:colOff>247650</xdr:colOff>
      <xdr:row>12</xdr:row>
      <xdr:rowOff>85725</xdr:rowOff>
    </xdr:to>
    <xdr:cxnSp macro="">
      <xdr:nvCxnSpPr>
        <xdr:cNvPr id="8" name="Straight Connector 7"/>
        <xdr:cNvCxnSpPr/>
      </xdr:nvCxnSpPr>
      <xdr:spPr>
        <a:xfrm rot="5400000" flipH="1" flipV="1">
          <a:off x="5124450" y="1181100"/>
          <a:ext cx="1390650" cy="990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4</xdr:row>
      <xdr:rowOff>180975</xdr:rowOff>
    </xdr:from>
    <xdr:to>
      <xdr:col>5</xdr:col>
      <xdr:colOff>274319</xdr:colOff>
      <xdr:row>5</xdr:row>
      <xdr:rowOff>66675</xdr:rowOff>
    </xdr:to>
    <xdr:sp macro="" textlink="">
      <xdr:nvSpPr>
        <xdr:cNvPr id="9" name="Flowchart: Connector 8"/>
        <xdr:cNvSpPr/>
      </xdr:nvSpPr>
      <xdr:spPr>
        <a:xfrm>
          <a:off x="4238625" y="942975"/>
          <a:ext cx="45719" cy="76200"/>
        </a:xfrm>
        <a:prstGeom prst="flowChartConnector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1" anchor="ctr"/>
        <a:lstStyle/>
        <a:p>
          <a:pPr algn="ctr"/>
          <a:endParaRPr lang="fa-IR" sz="1100"/>
        </a:p>
      </xdr:txBody>
    </xdr:sp>
    <xdr:clientData/>
  </xdr:twoCellAnchor>
  <xdr:twoCellAnchor>
    <xdr:from>
      <xdr:col>8</xdr:col>
      <xdr:colOff>219075</xdr:colOff>
      <xdr:row>4</xdr:row>
      <xdr:rowOff>152400</xdr:rowOff>
    </xdr:from>
    <xdr:to>
      <xdr:col>8</xdr:col>
      <xdr:colOff>264794</xdr:colOff>
      <xdr:row>5</xdr:row>
      <xdr:rowOff>38100</xdr:rowOff>
    </xdr:to>
    <xdr:sp macro="" textlink="">
      <xdr:nvSpPr>
        <xdr:cNvPr id="10" name="Flowchart: Connector 9"/>
        <xdr:cNvSpPr/>
      </xdr:nvSpPr>
      <xdr:spPr>
        <a:xfrm>
          <a:off x="6286500" y="914400"/>
          <a:ext cx="45719" cy="76200"/>
        </a:xfrm>
        <a:prstGeom prst="flowChartConnector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1" anchor="ctr"/>
        <a:lstStyle/>
        <a:p>
          <a:pPr algn="ctr"/>
          <a:endParaRPr lang="fa-IR" sz="1100"/>
        </a:p>
      </xdr:txBody>
    </xdr:sp>
    <xdr:clientData/>
  </xdr:twoCellAnchor>
  <xdr:twoCellAnchor>
    <xdr:from>
      <xdr:col>6</xdr:col>
      <xdr:colOff>571500</xdr:colOff>
      <xdr:row>12</xdr:row>
      <xdr:rowOff>9525</xdr:rowOff>
    </xdr:from>
    <xdr:to>
      <xdr:col>7</xdr:col>
      <xdr:colOff>38100</xdr:colOff>
      <xdr:row>12</xdr:row>
      <xdr:rowOff>104775</xdr:rowOff>
    </xdr:to>
    <xdr:sp macro="" textlink="">
      <xdr:nvSpPr>
        <xdr:cNvPr id="11" name="Flowchart: Connector 10"/>
        <xdr:cNvSpPr/>
      </xdr:nvSpPr>
      <xdr:spPr>
        <a:xfrm>
          <a:off x="4714875" y="2295525"/>
          <a:ext cx="76200" cy="95250"/>
        </a:xfrm>
        <a:prstGeom prst="flowChartConnector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1" anchor="ctr"/>
        <a:lstStyle/>
        <a:p>
          <a:pPr algn="ctr"/>
          <a:endParaRPr lang="fa-IR" sz="1100"/>
        </a:p>
      </xdr:txBody>
    </xdr:sp>
    <xdr:clientData/>
  </xdr:twoCellAnchor>
  <xdr:twoCellAnchor>
    <xdr:from>
      <xdr:col>6</xdr:col>
      <xdr:colOff>619126</xdr:colOff>
      <xdr:row>12</xdr:row>
      <xdr:rowOff>85725</xdr:rowOff>
    </xdr:from>
    <xdr:to>
      <xdr:col>6</xdr:col>
      <xdr:colOff>628651</xdr:colOff>
      <xdr:row>14</xdr:row>
      <xdr:rowOff>114300</xdr:rowOff>
    </xdr:to>
    <xdr:cxnSp macro="">
      <xdr:nvCxnSpPr>
        <xdr:cNvPr id="15" name="Straight Arrow Connector 14"/>
        <xdr:cNvCxnSpPr/>
      </xdr:nvCxnSpPr>
      <xdr:spPr>
        <a:xfrm rot="5400000">
          <a:off x="5124451" y="2562225"/>
          <a:ext cx="3905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14</xdr:row>
      <xdr:rowOff>123826</xdr:rowOff>
    </xdr:from>
    <xdr:to>
      <xdr:col>7</xdr:col>
      <xdr:colOff>133350</xdr:colOff>
      <xdr:row>15</xdr:row>
      <xdr:rowOff>38100</xdr:rowOff>
    </xdr:to>
    <xdr:sp macro="" textlink="">
      <xdr:nvSpPr>
        <xdr:cNvPr id="16" name="TextBox 15"/>
        <xdr:cNvSpPr txBox="1"/>
      </xdr:nvSpPr>
      <xdr:spPr>
        <a:xfrm>
          <a:off x="5153025" y="2771776"/>
          <a:ext cx="361950" cy="9524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r>
            <a:rPr lang="en-US" sz="1100" b="1"/>
            <a:t>W</a:t>
          </a:r>
          <a:endParaRPr lang="fa-IR" sz="1100" b="1"/>
        </a:p>
      </xdr:txBody>
    </xdr:sp>
    <xdr:clientData/>
  </xdr:twoCellAnchor>
  <xdr:twoCellAnchor>
    <xdr:from>
      <xdr:col>5</xdr:col>
      <xdr:colOff>152400</xdr:colOff>
      <xdr:row>4</xdr:row>
      <xdr:rowOff>161925</xdr:rowOff>
    </xdr:from>
    <xdr:to>
      <xdr:col>5</xdr:col>
      <xdr:colOff>400050</xdr:colOff>
      <xdr:row>4</xdr:row>
      <xdr:rowOff>163513</xdr:rowOff>
    </xdr:to>
    <xdr:cxnSp macro="">
      <xdr:nvCxnSpPr>
        <xdr:cNvPr id="18" name="Straight Connector 17"/>
        <xdr:cNvCxnSpPr/>
      </xdr:nvCxnSpPr>
      <xdr:spPr>
        <a:xfrm>
          <a:off x="4162425" y="923925"/>
          <a:ext cx="247650" cy="1588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4</xdr:row>
      <xdr:rowOff>114300</xdr:rowOff>
    </xdr:from>
    <xdr:to>
      <xdr:col>8</xdr:col>
      <xdr:colOff>371475</xdr:colOff>
      <xdr:row>4</xdr:row>
      <xdr:rowOff>115888</xdr:rowOff>
    </xdr:to>
    <xdr:cxnSp macro="">
      <xdr:nvCxnSpPr>
        <xdr:cNvPr id="19" name="Straight Connector 18"/>
        <xdr:cNvCxnSpPr/>
      </xdr:nvCxnSpPr>
      <xdr:spPr>
        <a:xfrm>
          <a:off x="6191250" y="876300"/>
          <a:ext cx="247650" cy="1588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8731</xdr:colOff>
      <xdr:row>4</xdr:row>
      <xdr:rowOff>172244</xdr:rowOff>
    </xdr:from>
    <xdr:to>
      <xdr:col>5</xdr:col>
      <xdr:colOff>10319</xdr:colOff>
      <xdr:row>12</xdr:row>
      <xdr:rowOff>115094</xdr:rowOff>
    </xdr:to>
    <xdr:cxnSp macro="">
      <xdr:nvCxnSpPr>
        <xdr:cNvPr id="21" name="Straight Arrow Connector 20"/>
        <xdr:cNvCxnSpPr/>
      </xdr:nvCxnSpPr>
      <xdr:spPr>
        <a:xfrm rot="5400000">
          <a:off x="3286125" y="1666875"/>
          <a:ext cx="14668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4</xdr:row>
      <xdr:rowOff>9525</xdr:rowOff>
    </xdr:from>
    <xdr:to>
      <xdr:col>8</xdr:col>
      <xdr:colOff>295275</xdr:colOff>
      <xdr:row>4</xdr:row>
      <xdr:rowOff>11113</xdr:rowOff>
    </xdr:to>
    <xdr:cxnSp macro="">
      <xdr:nvCxnSpPr>
        <xdr:cNvPr id="23" name="Straight Arrow Connector 22"/>
        <xdr:cNvCxnSpPr/>
      </xdr:nvCxnSpPr>
      <xdr:spPr>
        <a:xfrm>
          <a:off x="4229100" y="771525"/>
          <a:ext cx="213360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3</xdr:row>
      <xdr:rowOff>85725</xdr:rowOff>
    </xdr:from>
    <xdr:to>
      <xdr:col>7</xdr:col>
      <xdr:colOff>209550</xdr:colOff>
      <xdr:row>4</xdr:row>
      <xdr:rowOff>123825</xdr:rowOff>
    </xdr:to>
    <xdr:sp macro="" textlink="">
      <xdr:nvSpPr>
        <xdr:cNvPr id="24" name="TextBox 23"/>
        <xdr:cNvSpPr txBox="1"/>
      </xdr:nvSpPr>
      <xdr:spPr>
        <a:xfrm>
          <a:off x="5219700" y="657225"/>
          <a:ext cx="3714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en-US" sz="1400" b="1"/>
            <a:t>b</a:t>
          </a:r>
          <a:endParaRPr lang="fa-IR" sz="1400" b="1"/>
        </a:p>
      </xdr:txBody>
    </xdr:sp>
    <xdr:clientData/>
  </xdr:twoCellAnchor>
  <xdr:twoCellAnchor>
    <xdr:from>
      <xdr:col>4</xdr:col>
      <xdr:colOff>600075</xdr:colOff>
      <xdr:row>7</xdr:row>
      <xdr:rowOff>123825</xdr:rowOff>
    </xdr:from>
    <xdr:to>
      <xdr:col>5</xdr:col>
      <xdr:colOff>133350</xdr:colOff>
      <xdr:row>9</xdr:row>
      <xdr:rowOff>95250</xdr:rowOff>
    </xdr:to>
    <xdr:sp macro="" textlink="">
      <xdr:nvSpPr>
        <xdr:cNvPr id="25" name="TextBox 24"/>
        <xdr:cNvSpPr txBox="1"/>
      </xdr:nvSpPr>
      <xdr:spPr>
        <a:xfrm>
          <a:off x="3924300" y="1457325"/>
          <a:ext cx="219075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en-US" sz="1400" b="1"/>
            <a:t>h</a:t>
          </a:r>
          <a:endParaRPr lang="fa-IR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24177</xdr:colOff>
      <xdr:row>2</xdr:row>
      <xdr:rowOff>164398</xdr:rowOff>
    </xdr:from>
    <xdr:to>
      <xdr:col>12</xdr:col>
      <xdr:colOff>47989</xdr:colOff>
      <xdr:row>16</xdr:row>
      <xdr:rowOff>170351</xdr:rowOff>
    </xdr:to>
    <xdr:grpSp>
      <xdr:nvGrpSpPr>
        <xdr:cNvPr id="39" name="Group 38"/>
        <xdr:cNvGrpSpPr/>
      </xdr:nvGrpSpPr>
      <xdr:grpSpPr>
        <a:xfrm>
          <a:off x="3186477" y="526348"/>
          <a:ext cx="4548187" cy="2768203"/>
          <a:chOff x="3376977" y="526348"/>
          <a:chExt cx="4824412" cy="2711053"/>
        </a:xfrm>
      </xdr:grpSpPr>
      <xdr:sp macro="" textlink="">
        <xdr:nvSpPr>
          <xdr:cNvPr id="2" name="Rectangle 1"/>
          <xdr:cNvSpPr/>
        </xdr:nvSpPr>
        <xdr:spPr>
          <a:xfrm>
            <a:off x="3376977" y="526348"/>
            <a:ext cx="4824412" cy="2711053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endParaRPr lang="fa-IR" sz="1100"/>
          </a:p>
        </xdr:txBody>
      </xdr:sp>
      <xdr:grpSp>
        <xdr:nvGrpSpPr>
          <xdr:cNvPr id="38" name="Group 37"/>
          <xdr:cNvGrpSpPr/>
        </xdr:nvGrpSpPr>
        <xdr:grpSpPr>
          <a:xfrm>
            <a:off x="3488040" y="576088"/>
            <a:ext cx="4506415" cy="2572645"/>
            <a:chOff x="3591017" y="600667"/>
            <a:chExt cx="4496024" cy="2568315"/>
          </a:xfrm>
        </xdr:grpSpPr>
        <xdr:cxnSp macro="">
          <xdr:nvCxnSpPr>
            <xdr:cNvPr id="27" name="Straight Connector 26"/>
            <xdr:cNvCxnSpPr/>
          </xdr:nvCxnSpPr>
          <xdr:spPr>
            <a:xfrm flipV="1">
              <a:off x="4129954" y="1055834"/>
              <a:ext cx="1645948" cy="1741334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/>
            <xdr:cNvCxnSpPr/>
          </xdr:nvCxnSpPr>
          <xdr:spPr>
            <a:xfrm>
              <a:off x="5775902" y="1055832"/>
              <a:ext cx="1630003" cy="1726179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/>
            <xdr:cNvCxnSpPr/>
          </xdr:nvCxnSpPr>
          <xdr:spPr>
            <a:xfrm flipV="1">
              <a:off x="4139479" y="2790705"/>
              <a:ext cx="3256606" cy="155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2" name="Isosceles Triangle 41"/>
            <xdr:cNvSpPr/>
          </xdr:nvSpPr>
          <xdr:spPr>
            <a:xfrm>
              <a:off x="4075992" y="2798618"/>
              <a:ext cx="131562" cy="202521"/>
            </a:xfrm>
            <a:prstGeom prst="triangle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  <xdr:sp macro="" textlink="">
          <xdr:nvSpPr>
            <xdr:cNvPr id="43" name="Oval 42"/>
            <xdr:cNvSpPr/>
          </xdr:nvSpPr>
          <xdr:spPr>
            <a:xfrm>
              <a:off x="7380578" y="2804896"/>
              <a:ext cx="45719" cy="165173"/>
            </a:xfrm>
            <a:prstGeom prst="ellipse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  <xdr:sp macro="" textlink="">
          <xdr:nvSpPr>
            <xdr:cNvPr id="44" name="Oval 43"/>
            <xdr:cNvSpPr/>
          </xdr:nvSpPr>
          <xdr:spPr>
            <a:xfrm>
              <a:off x="5749634" y="1039096"/>
              <a:ext cx="60614" cy="60614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  <xdr:sp macro="" textlink="">
          <xdr:nvSpPr>
            <xdr:cNvPr id="45" name="Oval 44"/>
            <xdr:cNvSpPr/>
          </xdr:nvSpPr>
          <xdr:spPr>
            <a:xfrm>
              <a:off x="4107115" y="2762791"/>
              <a:ext cx="60614" cy="60614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  <xdr:sp macro="" textlink="">
          <xdr:nvSpPr>
            <xdr:cNvPr id="46" name="Oval 45"/>
            <xdr:cNvSpPr/>
          </xdr:nvSpPr>
          <xdr:spPr>
            <a:xfrm>
              <a:off x="7372922" y="2746149"/>
              <a:ext cx="60614" cy="60614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  <xdr:cxnSp macro="">
          <xdr:nvCxnSpPr>
            <xdr:cNvPr id="48" name="Straight Connector 47"/>
            <xdr:cNvCxnSpPr/>
          </xdr:nvCxnSpPr>
          <xdr:spPr>
            <a:xfrm>
              <a:off x="7299614" y="2993378"/>
              <a:ext cx="196828" cy="1588"/>
            </a:xfrm>
            <a:prstGeom prst="line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cxnSp macro="">
          <xdr:nvCxnSpPr>
            <xdr:cNvPr id="50" name="Straight Arrow Connector 49"/>
            <xdr:cNvCxnSpPr/>
          </xdr:nvCxnSpPr>
          <xdr:spPr>
            <a:xfrm>
              <a:off x="4140319" y="3088114"/>
              <a:ext cx="3262909" cy="16627"/>
            </a:xfrm>
            <a:prstGeom prst="straightConnector1">
              <a:avLst/>
            </a:prstGeom>
            <a:ln>
              <a:headEnd type="arrow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Straight Arrow Connector 52"/>
            <xdr:cNvCxnSpPr/>
          </xdr:nvCxnSpPr>
          <xdr:spPr>
            <a:xfrm rot="16200000" flipV="1">
              <a:off x="7136494" y="1907247"/>
              <a:ext cx="1690976" cy="4582"/>
            </a:xfrm>
            <a:prstGeom prst="straightConnector1">
              <a:avLst/>
            </a:prstGeom>
            <a:ln>
              <a:headEnd type="arrow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Straight Connector 54"/>
            <xdr:cNvCxnSpPr/>
          </xdr:nvCxnSpPr>
          <xdr:spPr>
            <a:xfrm>
              <a:off x="7886456" y="1069653"/>
              <a:ext cx="184897" cy="158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Straight Connector 55"/>
            <xdr:cNvCxnSpPr/>
          </xdr:nvCxnSpPr>
          <xdr:spPr>
            <a:xfrm>
              <a:off x="7896031" y="2744631"/>
              <a:ext cx="185804" cy="158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/>
            <xdr:cNvCxnSpPr/>
          </xdr:nvCxnSpPr>
          <xdr:spPr>
            <a:xfrm rot="5400000">
              <a:off x="7336328" y="3107748"/>
              <a:ext cx="120881" cy="158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Straight Connector 58"/>
            <xdr:cNvCxnSpPr/>
          </xdr:nvCxnSpPr>
          <xdr:spPr>
            <a:xfrm rot="5400000">
              <a:off x="4088166" y="3094333"/>
              <a:ext cx="120881" cy="158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" name="TextBox 59"/>
            <xdr:cNvSpPr txBox="1"/>
          </xdr:nvSpPr>
          <xdr:spPr>
            <a:xfrm>
              <a:off x="5613342" y="2997777"/>
              <a:ext cx="400050" cy="1666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1" anchor="ctr"/>
            <a:lstStyle/>
            <a:p>
              <a:pPr algn="ctr"/>
              <a:r>
                <a:rPr lang="en-US" sz="1100"/>
                <a:t>L</a:t>
              </a:r>
              <a:endParaRPr lang="fa-IR" sz="1100"/>
            </a:p>
          </xdr:txBody>
        </xdr:sp>
        <xdr:sp macro="" textlink="">
          <xdr:nvSpPr>
            <xdr:cNvPr id="62" name="TextBox 61"/>
            <xdr:cNvSpPr txBox="1"/>
          </xdr:nvSpPr>
          <xdr:spPr>
            <a:xfrm>
              <a:off x="7892731" y="1711729"/>
              <a:ext cx="194310" cy="31449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1" anchor="ctr"/>
            <a:lstStyle/>
            <a:p>
              <a:pPr algn="ctr"/>
              <a:r>
                <a:rPr lang="en-US" sz="1100"/>
                <a:t>h</a:t>
              </a:r>
              <a:endParaRPr lang="fa-IR" sz="1100"/>
            </a:p>
          </xdr:txBody>
        </xdr:sp>
        <xdr:cxnSp macro="">
          <xdr:nvCxnSpPr>
            <xdr:cNvPr id="64" name="Straight Arrow Connector 63"/>
            <xdr:cNvCxnSpPr/>
          </xdr:nvCxnSpPr>
          <xdr:spPr>
            <a:xfrm rot="5400000" flipH="1" flipV="1">
              <a:off x="3571650" y="2679986"/>
              <a:ext cx="209185" cy="158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Straight Arrow Connector 65"/>
            <xdr:cNvCxnSpPr/>
          </xdr:nvCxnSpPr>
          <xdr:spPr>
            <a:xfrm>
              <a:off x="3676243" y="2789591"/>
              <a:ext cx="205540" cy="158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Straight Arrow Connector 70"/>
            <xdr:cNvCxnSpPr/>
          </xdr:nvCxnSpPr>
          <xdr:spPr>
            <a:xfrm>
              <a:off x="5788602" y="945208"/>
              <a:ext cx="240631" cy="158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Straight Arrow Connector 72"/>
            <xdr:cNvCxnSpPr/>
          </xdr:nvCxnSpPr>
          <xdr:spPr>
            <a:xfrm rot="5400000" flipH="1" flipV="1">
              <a:off x="5684008" y="845628"/>
              <a:ext cx="209186" cy="158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Straight Arrow Connector 74"/>
            <xdr:cNvCxnSpPr/>
          </xdr:nvCxnSpPr>
          <xdr:spPr>
            <a:xfrm>
              <a:off x="7474847" y="2764528"/>
              <a:ext cx="235618" cy="158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Straight Arrow Connector 76"/>
            <xdr:cNvCxnSpPr/>
          </xdr:nvCxnSpPr>
          <xdr:spPr>
            <a:xfrm rot="5400000" flipH="1" flipV="1">
              <a:off x="7355215" y="2639883"/>
              <a:ext cx="239264" cy="158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8" name="TextBox 77"/>
            <xdr:cNvSpPr txBox="1"/>
          </xdr:nvSpPr>
          <xdr:spPr>
            <a:xfrm flipH="1">
              <a:off x="3906849" y="2709385"/>
              <a:ext cx="125326" cy="1253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1" anchor="ctr"/>
            <a:lstStyle/>
            <a:p>
              <a:pPr algn="ctr"/>
              <a:r>
                <a:rPr lang="en-US" sz="1100"/>
                <a:t>1</a:t>
              </a:r>
              <a:endParaRPr lang="fa-IR" sz="1100"/>
            </a:p>
          </xdr:txBody>
        </xdr:sp>
        <xdr:sp macro="" textlink="">
          <xdr:nvSpPr>
            <xdr:cNvPr id="80" name="TextBox 79"/>
            <xdr:cNvSpPr txBox="1"/>
          </xdr:nvSpPr>
          <xdr:spPr>
            <a:xfrm>
              <a:off x="3591017" y="2419988"/>
              <a:ext cx="190500" cy="13535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1" anchor="ctr"/>
            <a:lstStyle/>
            <a:p>
              <a:pPr algn="ctr"/>
              <a:r>
                <a:rPr lang="en-US" sz="1100"/>
                <a:t>2</a:t>
              </a:r>
              <a:endParaRPr lang="fa-IR" sz="1100"/>
            </a:p>
          </xdr:txBody>
        </xdr:sp>
        <xdr:sp macro="" textlink="">
          <xdr:nvSpPr>
            <xdr:cNvPr id="81" name="TextBox 80"/>
            <xdr:cNvSpPr txBox="1"/>
          </xdr:nvSpPr>
          <xdr:spPr>
            <a:xfrm>
              <a:off x="7715478" y="2714396"/>
              <a:ext cx="115303" cy="10026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1" anchor="ctr"/>
            <a:lstStyle/>
            <a:p>
              <a:pPr algn="ctr"/>
              <a:r>
                <a:rPr lang="en-US" sz="1100"/>
                <a:t>3</a:t>
              </a:r>
              <a:endParaRPr lang="fa-IR" sz="1100"/>
            </a:p>
          </xdr:txBody>
        </xdr:sp>
        <xdr:sp macro="" textlink="">
          <xdr:nvSpPr>
            <xdr:cNvPr id="83" name="TextBox 82"/>
            <xdr:cNvSpPr txBox="1"/>
          </xdr:nvSpPr>
          <xdr:spPr>
            <a:xfrm>
              <a:off x="7387346" y="2389909"/>
              <a:ext cx="142646" cy="10527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1" anchor="ctr"/>
            <a:lstStyle/>
            <a:p>
              <a:pPr algn="ctr"/>
              <a:r>
                <a:rPr lang="en-US" sz="1100"/>
                <a:t>4</a:t>
              </a:r>
              <a:endParaRPr lang="fa-IR" sz="1100"/>
            </a:p>
          </xdr:txBody>
        </xdr:sp>
        <xdr:sp macro="" textlink="">
          <xdr:nvSpPr>
            <xdr:cNvPr id="84" name="TextBox 83"/>
            <xdr:cNvSpPr txBox="1"/>
          </xdr:nvSpPr>
          <xdr:spPr>
            <a:xfrm>
              <a:off x="6049286" y="866365"/>
              <a:ext cx="147660" cy="12396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1" anchor="ctr"/>
            <a:lstStyle/>
            <a:p>
              <a:pPr algn="ctr"/>
              <a:r>
                <a:rPr lang="en-US" sz="1100"/>
                <a:t>5</a:t>
              </a:r>
              <a:endParaRPr lang="fa-IR" sz="1100"/>
            </a:p>
          </xdr:txBody>
        </xdr:sp>
        <xdr:sp macro="" textlink="">
          <xdr:nvSpPr>
            <xdr:cNvPr id="85" name="TextBox 84"/>
            <xdr:cNvSpPr txBox="1"/>
          </xdr:nvSpPr>
          <xdr:spPr>
            <a:xfrm>
              <a:off x="5703379" y="600667"/>
              <a:ext cx="145382" cy="10527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1" anchor="ctr"/>
            <a:lstStyle/>
            <a:p>
              <a:pPr algn="ctr"/>
              <a:r>
                <a:rPr lang="en-US" sz="1100"/>
                <a:t>6</a:t>
              </a:r>
              <a:endParaRPr lang="fa-IR" sz="1100"/>
            </a:p>
          </xdr:txBody>
        </xdr:sp>
      </xdr:grpSp>
    </xdr:grpSp>
    <xdr:clientData/>
  </xdr:twoCellAnchor>
  <xdr:twoCellAnchor>
    <xdr:from>
      <xdr:col>12</xdr:col>
      <xdr:colOff>123825</xdr:colOff>
      <xdr:row>48</xdr:row>
      <xdr:rowOff>95250</xdr:rowOff>
    </xdr:from>
    <xdr:to>
      <xdr:col>12</xdr:col>
      <xdr:colOff>504825</xdr:colOff>
      <xdr:row>48</xdr:row>
      <xdr:rowOff>96838</xdr:rowOff>
    </xdr:to>
    <xdr:cxnSp macro="">
      <xdr:nvCxnSpPr>
        <xdr:cNvPr id="86" name="Straight Connector 85"/>
        <xdr:cNvCxnSpPr/>
      </xdr:nvCxnSpPr>
      <xdr:spPr>
        <a:xfrm>
          <a:off x="8286750" y="8362950"/>
          <a:ext cx="3810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49</xdr:row>
      <xdr:rowOff>71438</xdr:rowOff>
    </xdr:from>
    <xdr:to>
      <xdr:col>12</xdr:col>
      <xdr:colOff>495300</xdr:colOff>
      <xdr:row>49</xdr:row>
      <xdr:rowOff>73026</xdr:rowOff>
    </xdr:to>
    <xdr:cxnSp macro="">
      <xdr:nvCxnSpPr>
        <xdr:cNvPr id="87" name="Straight Connector 86"/>
        <xdr:cNvCxnSpPr/>
      </xdr:nvCxnSpPr>
      <xdr:spPr>
        <a:xfrm>
          <a:off x="8296275" y="8529638"/>
          <a:ext cx="3619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200028</xdr:colOff>
      <xdr:row>48</xdr:row>
      <xdr:rowOff>76200</xdr:rowOff>
    </xdr:from>
    <xdr:to>
      <xdr:col>10</xdr:col>
      <xdr:colOff>371480</xdr:colOff>
      <xdr:row>49</xdr:row>
      <xdr:rowOff>109538</xdr:rowOff>
    </xdr:to>
    <xdr:cxnSp macro="">
      <xdr:nvCxnSpPr>
        <xdr:cNvPr id="88" name="Straight Connector 87"/>
        <xdr:cNvCxnSpPr/>
      </xdr:nvCxnSpPr>
      <xdr:spPr>
        <a:xfrm rot="5400000">
          <a:off x="6965160" y="8370093"/>
          <a:ext cx="223838" cy="1714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48</xdr:row>
      <xdr:rowOff>95251</xdr:rowOff>
    </xdr:from>
    <xdr:to>
      <xdr:col>10</xdr:col>
      <xdr:colOff>409580</xdr:colOff>
      <xdr:row>49</xdr:row>
      <xdr:rowOff>109539</xdr:rowOff>
    </xdr:to>
    <xdr:cxnSp macro="">
      <xdr:nvCxnSpPr>
        <xdr:cNvPr id="89" name="Straight Connector 88"/>
        <xdr:cNvCxnSpPr/>
      </xdr:nvCxnSpPr>
      <xdr:spPr>
        <a:xfrm>
          <a:off x="6991350" y="8362951"/>
          <a:ext cx="209555" cy="2047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56</xdr:row>
      <xdr:rowOff>61913</xdr:rowOff>
    </xdr:from>
    <xdr:to>
      <xdr:col>6</xdr:col>
      <xdr:colOff>514350</xdr:colOff>
      <xdr:row>56</xdr:row>
      <xdr:rowOff>63501</xdr:rowOff>
    </xdr:to>
    <xdr:cxnSp macro="">
      <xdr:nvCxnSpPr>
        <xdr:cNvPr id="92" name="Straight Connector 91"/>
        <xdr:cNvCxnSpPr/>
      </xdr:nvCxnSpPr>
      <xdr:spPr>
        <a:xfrm>
          <a:off x="4200525" y="9967913"/>
          <a:ext cx="3619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55</xdr:row>
      <xdr:rowOff>66675</xdr:rowOff>
    </xdr:from>
    <xdr:to>
      <xdr:col>6</xdr:col>
      <xdr:colOff>523875</xdr:colOff>
      <xdr:row>55</xdr:row>
      <xdr:rowOff>68263</xdr:rowOff>
    </xdr:to>
    <xdr:cxnSp macro="">
      <xdr:nvCxnSpPr>
        <xdr:cNvPr id="93" name="Straight Connector 92"/>
        <xdr:cNvCxnSpPr/>
      </xdr:nvCxnSpPr>
      <xdr:spPr>
        <a:xfrm>
          <a:off x="4191000" y="9791700"/>
          <a:ext cx="3810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114300</xdr:rowOff>
    </xdr:from>
    <xdr:to>
      <xdr:col>8</xdr:col>
      <xdr:colOff>647700</xdr:colOff>
      <xdr:row>22</xdr:row>
      <xdr:rowOff>142875</xdr:rowOff>
    </xdr:to>
    <xdr:sp macro="" textlink="">
      <xdr:nvSpPr>
        <xdr:cNvPr id="2" name="Rectangle 1"/>
        <xdr:cNvSpPr/>
      </xdr:nvSpPr>
      <xdr:spPr>
        <a:xfrm>
          <a:off x="3009900" y="114300"/>
          <a:ext cx="3371850" cy="34671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1" anchor="ctr"/>
        <a:lstStyle/>
        <a:p>
          <a:pPr algn="ctr"/>
          <a:endParaRPr lang="fa-IR" sz="1100"/>
        </a:p>
      </xdr:txBody>
    </xdr:sp>
    <xdr:clientData/>
  </xdr:twoCellAnchor>
  <xdr:twoCellAnchor>
    <xdr:from>
      <xdr:col>5</xdr:col>
      <xdr:colOff>142875</xdr:colOff>
      <xdr:row>3</xdr:row>
      <xdr:rowOff>95250</xdr:rowOff>
    </xdr:from>
    <xdr:to>
      <xdr:col>7</xdr:col>
      <xdr:colOff>466725</xdr:colOff>
      <xdr:row>4</xdr:row>
      <xdr:rowOff>152400</xdr:rowOff>
    </xdr:to>
    <xdr:sp macro="" textlink="">
      <xdr:nvSpPr>
        <xdr:cNvPr id="3" name="Rectangle 2"/>
        <xdr:cNvSpPr/>
      </xdr:nvSpPr>
      <xdr:spPr>
        <a:xfrm>
          <a:off x="3819525" y="638175"/>
          <a:ext cx="16954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ctr"/>
          <a:endParaRPr lang="fa-IR" sz="1100"/>
        </a:p>
      </xdr:txBody>
    </xdr:sp>
    <xdr:clientData/>
  </xdr:twoCellAnchor>
  <xdr:twoCellAnchor>
    <xdr:from>
      <xdr:col>6</xdr:col>
      <xdr:colOff>219075</xdr:colOff>
      <xdr:row>4</xdr:row>
      <xdr:rowOff>152400</xdr:rowOff>
    </xdr:from>
    <xdr:to>
      <xdr:col>6</xdr:col>
      <xdr:colOff>371475</xdr:colOff>
      <xdr:row>19</xdr:row>
      <xdr:rowOff>9525</xdr:rowOff>
    </xdr:to>
    <xdr:sp macro="" textlink="">
      <xdr:nvSpPr>
        <xdr:cNvPr id="4" name="Rectangle 3"/>
        <xdr:cNvSpPr/>
      </xdr:nvSpPr>
      <xdr:spPr>
        <a:xfrm>
          <a:off x="4581525" y="876300"/>
          <a:ext cx="152400" cy="2028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ctr"/>
          <a:endParaRPr lang="fa-IR" sz="1100"/>
        </a:p>
      </xdr:txBody>
    </xdr:sp>
    <xdr:clientData/>
  </xdr:twoCellAnchor>
  <xdr:twoCellAnchor>
    <xdr:from>
      <xdr:col>5</xdr:col>
      <xdr:colOff>133350</xdr:colOff>
      <xdr:row>19</xdr:row>
      <xdr:rowOff>9525</xdr:rowOff>
    </xdr:from>
    <xdr:to>
      <xdr:col>7</xdr:col>
      <xdr:colOff>457200</xdr:colOff>
      <xdr:row>20</xdr:row>
      <xdr:rowOff>66675</xdr:rowOff>
    </xdr:to>
    <xdr:sp macro="" textlink="">
      <xdr:nvSpPr>
        <xdr:cNvPr id="5" name="Rectangle 4"/>
        <xdr:cNvSpPr/>
      </xdr:nvSpPr>
      <xdr:spPr>
        <a:xfrm>
          <a:off x="3810000" y="2905125"/>
          <a:ext cx="16954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1" anchor="ctr"/>
        <a:lstStyle/>
        <a:p>
          <a:pPr algn="ctr"/>
          <a:endParaRPr lang="fa-IR" sz="1100"/>
        </a:p>
      </xdr:txBody>
    </xdr:sp>
    <xdr:clientData/>
  </xdr:twoCellAnchor>
  <xdr:twoCellAnchor>
    <xdr:from>
      <xdr:col>5</xdr:col>
      <xdr:colOff>133350</xdr:colOff>
      <xdr:row>2</xdr:row>
      <xdr:rowOff>133350</xdr:rowOff>
    </xdr:from>
    <xdr:to>
      <xdr:col>7</xdr:col>
      <xdr:colOff>504825</xdr:colOff>
      <xdr:row>2</xdr:row>
      <xdr:rowOff>134938</xdr:rowOff>
    </xdr:to>
    <xdr:cxnSp macro="">
      <xdr:nvCxnSpPr>
        <xdr:cNvPr id="7" name="Straight Arrow Connector 6"/>
        <xdr:cNvCxnSpPr/>
      </xdr:nvCxnSpPr>
      <xdr:spPr>
        <a:xfrm>
          <a:off x="3810000" y="495300"/>
          <a:ext cx="17430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685007</xdr:colOff>
      <xdr:row>3</xdr:row>
      <xdr:rowOff>76993</xdr:rowOff>
    </xdr:from>
    <xdr:to>
      <xdr:col>8</xdr:col>
      <xdr:colOff>795</xdr:colOff>
      <xdr:row>4</xdr:row>
      <xdr:rowOff>172243</xdr:rowOff>
    </xdr:to>
    <xdr:cxnSp macro="">
      <xdr:nvCxnSpPr>
        <xdr:cNvPr id="13" name="Straight Arrow Connector 12"/>
        <xdr:cNvCxnSpPr/>
      </xdr:nvCxnSpPr>
      <xdr:spPr>
        <a:xfrm rot="5400000">
          <a:off x="5595938" y="757237"/>
          <a:ext cx="2762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675481</xdr:colOff>
      <xdr:row>4</xdr:row>
      <xdr:rowOff>162719</xdr:rowOff>
    </xdr:from>
    <xdr:to>
      <xdr:col>7</xdr:col>
      <xdr:colOff>677069</xdr:colOff>
      <xdr:row>18</xdr:row>
      <xdr:rowOff>172244</xdr:rowOff>
    </xdr:to>
    <xdr:cxnSp macro="">
      <xdr:nvCxnSpPr>
        <xdr:cNvPr id="15" name="Straight Arrow Connector 14"/>
        <xdr:cNvCxnSpPr/>
      </xdr:nvCxnSpPr>
      <xdr:spPr>
        <a:xfrm rot="5400000">
          <a:off x="4724400" y="1885950"/>
          <a:ext cx="20002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675481</xdr:colOff>
      <xdr:row>18</xdr:row>
      <xdr:rowOff>153194</xdr:rowOff>
    </xdr:from>
    <xdr:to>
      <xdr:col>7</xdr:col>
      <xdr:colOff>677069</xdr:colOff>
      <xdr:row>20</xdr:row>
      <xdr:rowOff>57944</xdr:rowOff>
    </xdr:to>
    <xdr:cxnSp macro="">
      <xdr:nvCxnSpPr>
        <xdr:cNvPr id="17" name="Straight Arrow Connector 16"/>
        <xdr:cNvCxnSpPr/>
      </xdr:nvCxnSpPr>
      <xdr:spPr>
        <a:xfrm rot="5400000">
          <a:off x="5591175" y="3000375"/>
          <a:ext cx="26670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2</xdr:row>
      <xdr:rowOff>28575</xdr:rowOff>
    </xdr:from>
    <xdr:to>
      <xdr:col>6</xdr:col>
      <xdr:colOff>666750</xdr:colOff>
      <xdr:row>3</xdr:row>
      <xdr:rowOff>19050</xdr:rowOff>
    </xdr:to>
    <xdr:sp macro="" textlink="">
      <xdr:nvSpPr>
        <xdr:cNvPr id="18" name="TextBox 17"/>
        <xdr:cNvSpPr txBox="1"/>
      </xdr:nvSpPr>
      <xdr:spPr>
        <a:xfrm>
          <a:off x="4486275" y="390525"/>
          <a:ext cx="5429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en-US" sz="1400" b="1">
              <a:cs typeface="+mn-cs"/>
            </a:rPr>
            <a:t>b</a:t>
          </a:r>
          <a:endParaRPr lang="fa-IR" sz="1400" b="1">
            <a:cs typeface="+mn-cs"/>
          </a:endParaRPr>
        </a:p>
      </xdr:txBody>
    </xdr:sp>
    <xdr:clientData/>
  </xdr:twoCellAnchor>
  <xdr:twoCellAnchor>
    <xdr:from>
      <xdr:col>7</xdr:col>
      <xdr:colOff>419100</xdr:colOff>
      <xdr:row>12</xdr:row>
      <xdr:rowOff>104775</xdr:rowOff>
    </xdr:from>
    <xdr:to>
      <xdr:col>8</xdr:col>
      <xdr:colOff>276225</xdr:colOff>
      <xdr:row>13</xdr:row>
      <xdr:rowOff>95250</xdr:rowOff>
    </xdr:to>
    <xdr:sp macro="" textlink="">
      <xdr:nvSpPr>
        <xdr:cNvPr id="19" name="TextBox 18"/>
        <xdr:cNvSpPr txBox="1"/>
      </xdr:nvSpPr>
      <xdr:spPr>
        <a:xfrm>
          <a:off x="5467350" y="1733550"/>
          <a:ext cx="5429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en-US" sz="1400" b="1">
              <a:cs typeface="+mn-cs"/>
            </a:rPr>
            <a:t>d</a:t>
          </a:r>
          <a:endParaRPr lang="fa-IR" sz="1400" b="1">
            <a:cs typeface="+mn-cs"/>
          </a:endParaRPr>
        </a:p>
      </xdr:txBody>
    </xdr:sp>
    <xdr:clientData/>
  </xdr:twoCellAnchor>
  <xdr:twoCellAnchor>
    <xdr:from>
      <xdr:col>8</xdr:col>
      <xdr:colOff>114300</xdr:colOff>
      <xdr:row>3</xdr:row>
      <xdr:rowOff>133350</xdr:rowOff>
    </xdr:from>
    <xdr:to>
      <xdr:col>8</xdr:col>
      <xdr:colOff>533399</xdr:colOff>
      <xdr:row>4</xdr:row>
      <xdr:rowOff>152400</xdr:rowOff>
    </xdr:to>
    <xdr:sp macro="" textlink="">
      <xdr:nvSpPr>
        <xdr:cNvPr id="24" name="TextBox 23"/>
        <xdr:cNvSpPr txBox="1"/>
      </xdr:nvSpPr>
      <xdr:spPr>
        <a:xfrm>
          <a:off x="5848350" y="676275"/>
          <a:ext cx="419099" cy="2000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en-US" sz="1400" b="1">
              <a:cs typeface="+mn-cs"/>
            </a:rPr>
            <a:t>t1</a:t>
          </a:r>
          <a:endParaRPr lang="fa-IR" sz="1400" b="1">
            <a:cs typeface="+mn-cs"/>
          </a:endParaRPr>
        </a:p>
      </xdr:txBody>
    </xdr:sp>
    <xdr:clientData/>
  </xdr:twoCellAnchor>
  <xdr:twoCellAnchor>
    <xdr:from>
      <xdr:col>6</xdr:col>
      <xdr:colOff>476250</xdr:colOff>
      <xdr:row>16</xdr:row>
      <xdr:rowOff>161925</xdr:rowOff>
    </xdr:from>
    <xdr:to>
      <xdr:col>7</xdr:col>
      <xdr:colOff>161925</xdr:colOff>
      <xdr:row>17</xdr:row>
      <xdr:rowOff>161925</xdr:rowOff>
    </xdr:to>
    <xdr:sp macro="" textlink="">
      <xdr:nvSpPr>
        <xdr:cNvPr id="25" name="TextBox 24"/>
        <xdr:cNvSpPr txBox="1"/>
      </xdr:nvSpPr>
      <xdr:spPr>
        <a:xfrm>
          <a:off x="4838700" y="2514600"/>
          <a:ext cx="3714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en-US" sz="1400" b="1">
              <a:cs typeface="+mn-cs"/>
            </a:rPr>
            <a:t>t2</a:t>
          </a:r>
          <a:endParaRPr lang="fa-IR" sz="1400" b="1">
            <a:cs typeface="+mn-cs"/>
          </a:endParaRPr>
        </a:p>
      </xdr:txBody>
    </xdr:sp>
    <xdr:clientData/>
  </xdr:twoCellAnchor>
  <xdr:twoCellAnchor>
    <xdr:from>
      <xdr:col>6</xdr:col>
      <xdr:colOff>85725</xdr:colOff>
      <xdr:row>17</xdr:row>
      <xdr:rowOff>71438</xdr:rowOff>
    </xdr:from>
    <xdr:to>
      <xdr:col>6</xdr:col>
      <xdr:colOff>504825</xdr:colOff>
      <xdr:row>17</xdr:row>
      <xdr:rowOff>76200</xdr:rowOff>
    </xdr:to>
    <xdr:cxnSp macro="">
      <xdr:nvCxnSpPr>
        <xdr:cNvPr id="32" name="Straight Arrow Connector 31"/>
        <xdr:cNvCxnSpPr/>
      </xdr:nvCxnSpPr>
      <xdr:spPr>
        <a:xfrm flipV="1">
          <a:off x="4448175" y="2605088"/>
          <a:ext cx="419100" cy="476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19</xdr:row>
      <xdr:rowOff>19050</xdr:rowOff>
    </xdr:from>
    <xdr:to>
      <xdr:col>8</xdr:col>
      <xdr:colOff>457200</xdr:colOff>
      <xdr:row>20</xdr:row>
      <xdr:rowOff>19050</xdr:rowOff>
    </xdr:to>
    <xdr:sp macro="" textlink="">
      <xdr:nvSpPr>
        <xdr:cNvPr id="35" name="TextBox 34"/>
        <xdr:cNvSpPr txBox="1"/>
      </xdr:nvSpPr>
      <xdr:spPr>
        <a:xfrm>
          <a:off x="5819775" y="2914650"/>
          <a:ext cx="3714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en-US" sz="1400" b="1">
              <a:cs typeface="+mn-cs"/>
            </a:rPr>
            <a:t>t1</a:t>
          </a:r>
          <a:endParaRPr lang="fa-IR" sz="1400" b="1"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150699</xdr:colOff>
      <xdr:row>0</xdr:row>
      <xdr:rowOff>48986</xdr:rowOff>
    </xdr:from>
    <xdr:to>
      <xdr:col>39</xdr:col>
      <xdr:colOff>148704</xdr:colOff>
      <xdr:row>24</xdr:row>
      <xdr:rowOff>35378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622300</xdr:colOff>
      <xdr:row>246</xdr:row>
      <xdr:rowOff>120650</xdr:rowOff>
    </xdr:from>
    <xdr:to>
      <xdr:col>28</xdr:col>
      <xdr:colOff>44500</xdr:colOff>
      <xdr:row>247</xdr:row>
      <xdr:rowOff>25450</xdr:rowOff>
    </xdr:to>
    <xdr:sp macro="" textlink="">
      <xdr:nvSpPr>
        <xdr:cNvPr id="296" name="Oval 295"/>
        <xdr:cNvSpPr/>
      </xdr:nvSpPr>
      <xdr:spPr>
        <a:xfrm>
          <a:off x="20993100" y="47034450"/>
          <a:ext cx="108000" cy="10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1" anchor="ctr"/>
        <a:lstStyle/>
        <a:p>
          <a:pPr algn="ctr"/>
          <a:endParaRPr lang="fa-IR" sz="1100"/>
        </a:p>
      </xdr:txBody>
    </xdr:sp>
    <xdr:clientData/>
  </xdr:twoCellAnchor>
  <xdr:twoCellAnchor>
    <xdr:from>
      <xdr:col>23</xdr:col>
      <xdr:colOff>522906</xdr:colOff>
      <xdr:row>230</xdr:row>
      <xdr:rowOff>157574</xdr:rowOff>
    </xdr:from>
    <xdr:to>
      <xdr:col>24</xdr:col>
      <xdr:colOff>267885</xdr:colOff>
      <xdr:row>233</xdr:row>
      <xdr:rowOff>52977</xdr:rowOff>
    </xdr:to>
    <xdr:grpSp>
      <xdr:nvGrpSpPr>
        <xdr:cNvPr id="333" name="Group 332"/>
        <xdr:cNvGrpSpPr/>
      </xdr:nvGrpSpPr>
      <xdr:grpSpPr>
        <a:xfrm>
          <a:off x="16424053" y="44958692"/>
          <a:ext cx="350097" cy="466903"/>
          <a:chOff x="20615966" y="21092572"/>
          <a:chExt cx="431326" cy="445428"/>
        </a:xfrm>
      </xdr:grpSpPr>
      <xdr:sp macro="" textlink="">
        <xdr:nvSpPr>
          <xdr:cNvPr id="334" name="Arc 333"/>
          <xdr:cNvSpPr/>
        </xdr:nvSpPr>
        <xdr:spPr>
          <a:xfrm>
            <a:off x="20622365" y="21228659"/>
            <a:ext cx="381000" cy="309341"/>
          </a:xfrm>
          <a:prstGeom prst="arc">
            <a:avLst>
              <a:gd name="adj1" fmla="val 11080648"/>
              <a:gd name="adj2" fmla="val 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1" anchor="ctr"/>
          <a:lstStyle/>
          <a:p>
            <a:pPr algn="ctr"/>
            <a:endParaRPr lang="fa-IR" sz="1100"/>
          </a:p>
        </xdr:txBody>
      </xdr:sp>
      <xdr:cxnSp macro="">
        <xdr:nvCxnSpPr>
          <xdr:cNvPr id="335" name="Straight Connector 334"/>
          <xdr:cNvCxnSpPr/>
        </xdr:nvCxnSpPr>
        <xdr:spPr>
          <a:xfrm rot="5400000" flipH="1" flipV="1">
            <a:off x="20560730" y="21312704"/>
            <a:ext cx="112059" cy="158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" name="Straight Connector 335"/>
          <xdr:cNvCxnSpPr/>
        </xdr:nvCxnSpPr>
        <xdr:spPr>
          <a:xfrm flipV="1">
            <a:off x="20622362" y="21318306"/>
            <a:ext cx="61632" cy="5042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7" name="TextBox 336"/>
          <xdr:cNvSpPr txBox="1"/>
        </xdr:nvSpPr>
        <xdr:spPr>
          <a:xfrm>
            <a:off x="20667315" y="21092572"/>
            <a:ext cx="379977" cy="1109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1" anchor="ctr"/>
          <a:lstStyle/>
          <a:p>
            <a:r>
              <a:rPr lang="en-US" sz="1100"/>
              <a:t>14</a:t>
            </a:r>
            <a:endParaRPr lang="fa-IR" sz="1100"/>
          </a:p>
        </xdr:txBody>
      </xdr:sp>
    </xdr:grpSp>
    <xdr:clientData/>
  </xdr:twoCellAnchor>
  <xdr:twoCellAnchor>
    <xdr:from>
      <xdr:col>22</xdr:col>
      <xdr:colOff>13608</xdr:colOff>
      <xdr:row>108</xdr:row>
      <xdr:rowOff>13606</xdr:rowOff>
    </xdr:from>
    <xdr:to>
      <xdr:col>31</xdr:col>
      <xdr:colOff>10393</xdr:colOff>
      <xdr:row>128</xdr:row>
      <xdr:rowOff>190820</xdr:rowOff>
    </xdr:to>
    <xdr:grpSp>
      <xdr:nvGrpSpPr>
        <xdr:cNvPr id="418" name="Group 417"/>
        <xdr:cNvGrpSpPr/>
      </xdr:nvGrpSpPr>
      <xdr:grpSpPr>
        <a:xfrm>
          <a:off x="15309637" y="21080665"/>
          <a:ext cx="5442844" cy="4099273"/>
          <a:chOff x="16942131" y="20423083"/>
          <a:chExt cx="6153398" cy="3969896"/>
        </a:xfrm>
      </xdr:grpSpPr>
      <xdr:grpSp>
        <xdr:nvGrpSpPr>
          <xdr:cNvPr id="303" name="Group 302"/>
          <xdr:cNvGrpSpPr/>
        </xdr:nvGrpSpPr>
        <xdr:grpSpPr>
          <a:xfrm>
            <a:off x="16942131" y="20423083"/>
            <a:ext cx="6153398" cy="3969896"/>
            <a:chOff x="16955408" y="20657457"/>
            <a:chExt cx="6172202" cy="4009139"/>
          </a:xfrm>
        </xdr:grpSpPr>
        <xdr:grpSp>
          <xdr:nvGrpSpPr>
            <xdr:cNvPr id="298" name="Group 297"/>
            <xdr:cNvGrpSpPr/>
          </xdr:nvGrpSpPr>
          <xdr:grpSpPr>
            <a:xfrm>
              <a:off x="16955408" y="20657457"/>
              <a:ext cx="6172202" cy="4009139"/>
              <a:chOff x="16934090" y="20458339"/>
              <a:chExt cx="6184449" cy="3963782"/>
            </a:xfrm>
          </xdr:grpSpPr>
          <xdr:grpSp>
            <xdr:nvGrpSpPr>
              <xdr:cNvPr id="114" name="Group 113"/>
              <xdr:cNvGrpSpPr/>
            </xdr:nvGrpSpPr>
            <xdr:grpSpPr>
              <a:xfrm>
                <a:off x="16934090" y="20458339"/>
                <a:ext cx="6184449" cy="3963782"/>
                <a:chOff x="16917458" y="9537529"/>
                <a:chExt cx="6191251" cy="3945639"/>
              </a:xfrm>
            </xdr:grpSpPr>
            <xdr:sp macro="" textlink="">
              <xdr:nvSpPr>
                <xdr:cNvPr id="115" name="Rectangle 114"/>
                <xdr:cNvSpPr/>
              </xdr:nvSpPr>
              <xdr:spPr>
                <a:xfrm>
                  <a:off x="16917458" y="9537529"/>
                  <a:ext cx="6191251" cy="3945639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rtlCol="1" anchor="ctr"/>
                <a:lstStyle/>
                <a:p>
                  <a:pPr algn="ctr"/>
                  <a:endParaRPr lang="fa-IR" sz="1100"/>
                </a:p>
              </xdr:txBody>
            </xdr:sp>
            <xdr:grpSp>
              <xdr:nvGrpSpPr>
                <xdr:cNvPr id="116" name="Group 83"/>
                <xdr:cNvGrpSpPr/>
              </xdr:nvGrpSpPr>
              <xdr:grpSpPr>
                <a:xfrm>
                  <a:off x="17130219" y="9598942"/>
                  <a:ext cx="5441542" cy="3491057"/>
                  <a:chOff x="17114343" y="9593663"/>
                  <a:chExt cx="5399209" cy="3464558"/>
                </a:xfrm>
              </xdr:grpSpPr>
              <xdr:grpSp>
                <xdr:nvGrpSpPr>
                  <xdr:cNvPr id="132" name="Group 131"/>
                  <xdr:cNvGrpSpPr/>
                </xdr:nvGrpSpPr>
                <xdr:grpSpPr>
                  <a:xfrm>
                    <a:off x="18125679" y="10093325"/>
                    <a:ext cx="2933515" cy="2802164"/>
                    <a:chOff x="18145131" y="10116004"/>
                    <a:chExt cx="2955852" cy="2819173"/>
                  </a:xfrm>
                </xdr:grpSpPr>
                <xdr:cxnSp macro="">
                  <xdr:nvCxnSpPr>
                    <xdr:cNvPr id="169" name="Straight Connector 4"/>
                    <xdr:cNvCxnSpPr/>
                  </xdr:nvCxnSpPr>
                  <xdr:spPr>
                    <a:xfrm rot="5400000" flipH="1" flipV="1">
                      <a:off x="16822682" y="11522699"/>
                      <a:ext cx="2814978" cy="1588"/>
                    </a:xfrm>
                    <a:prstGeom prst="line">
                      <a:avLst/>
                    </a:prstGeom>
                    <a:effectLst/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70" name="Straight Connector 6"/>
                    <xdr:cNvCxnSpPr/>
                  </xdr:nvCxnSpPr>
                  <xdr:spPr>
                    <a:xfrm>
                      <a:off x="18225408" y="10117592"/>
                      <a:ext cx="2777218" cy="681378"/>
                    </a:xfrm>
                    <a:prstGeom prst="line">
                      <a:avLst/>
                    </a:prstGeom>
                    <a:effectLst/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71" name="Straight Connector 8"/>
                    <xdr:cNvCxnSpPr/>
                  </xdr:nvCxnSpPr>
                  <xdr:spPr>
                    <a:xfrm rot="5400000">
                      <a:off x="19941403" y="11860235"/>
                      <a:ext cx="2122490" cy="1547"/>
                    </a:xfrm>
                    <a:prstGeom prst="line">
                      <a:avLst/>
                    </a:prstGeom>
                    <a:effectLst/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72" name="Straight Connector 171"/>
                    <xdr:cNvCxnSpPr/>
                  </xdr:nvCxnSpPr>
                  <xdr:spPr>
                    <a:xfrm>
                      <a:off x="18145131" y="12933589"/>
                      <a:ext cx="180000" cy="1588"/>
                    </a:xfrm>
                    <a:prstGeom prst="line">
                      <a:avLst/>
                    </a:prstGeom>
                    <a:effectLst/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73" name="Straight Connector 172"/>
                    <xdr:cNvCxnSpPr/>
                  </xdr:nvCxnSpPr>
                  <xdr:spPr>
                    <a:xfrm>
                      <a:off x="20920983" y="12923376"/>
                      <a:ext cx="180000" cy="1588"/>
                    </a:xfrm>
                    <a:prstGeom prst="line">
                      <a:avLst/>
                    </a:prstGeom>
                    <a:effectLst/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133" name="Group 52"/>
                  <xdr:cNvGrpSpPr/>
                </xdr:nvGrpSpPr>
                <xdr:grpSpPr>
                  <a:xfrm>
                    <a:off x="17136578" y="12252361"/>
                    <a:ext cx="978647" cy="805860"/>
                    <a:chOff x="16741588" y="12360088"/>
                    <a:chExt cx="980515" cy="787027"/>
                  </a:xfrm>
                </xdr:grpSpPr>
                <xdr:cxnSp macro="">
                  <xdr:nvCxnSpPr>
                    <xdr:cNvPr id="161" name="Straight Arrow Connector 21"/>
                    <xdr:cNvCxnSpPr/>
                  </xdr:nvCxnSpPr>
                  <xdr:spPr>
                    <a:xfrm>
                      <a:off x="17181819" y="12970809"/>
                      <a:ext cx="360589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2" name="Straight Arrow Connector 23"/>
                    <xdr:cNvCxnSpPr/>
                  </xdr:nvCxnSpPr>
                  <xdr:spPr>
                    <a:xfrm rot="5400000" flipH="1" flipV="1">
                      <a:off x="16997416" y="12792170"/>
                      <a:ext cx="368805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63" name="Arc 162"/>
                    <xdr:cNvSpPr/>
                  </xdr:nvSpPr>
                  <xdr:spPr>
                    <a:xfrm>
                      <a:off x="16973176" y="12807203"/>
                      <a:ext cx="419100" cy="339912"/>
                    </a:xfrm>
                    <a:prstGeom prst="arc">
                      <a:avLst>
                        <a:gd name="adj1" fmla="val 10541442"/>
                        <a:gd name="adj2" fmla="val 21385420"/>
                      </a:avLst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rtlCol="1" anchor="ctr"/>
                    <a:lstStyle/>
                    <a:p>
                      <a:pPr algn="ctr"/>
                      <a:endParaRPr lang="fa-IR" sz="1100"/>
                    </a:p>
                  </xdr:txBody>
                </xdr:sp>
                <xdr:cxnSp macro="">
                  <xdr:nvCxnSpPr>
                    <xdr:cNvPr id="164" name="Straight Connector 163"/>
                    <xdr:cNvCxnSpPr/>
                  </xdr:nvCxnSpPr>
                  <xdr:spPr>
                    <a:xfrm rot="16200000" flipV="1">
                      <a:off x="16897723" y="12927106"/>
                      <a:ext cx="125506" cy="127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5" name="Straight Connector 164"/>
                    <xdr:cNvCxnSpPr/>
                  </xdr:nvCxnSpPr>
                  <xdr:spPr>
                    <a:xfrm rot="5400000" flipH="1" flipV="1">
                      <a:off x="16966826" y="12913659"/>
                      <a:ext cx="76200" cy="762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66" name="TextBox 165"/>
                    <xdr:cNvSpPr txBox="1"/>
                  </xdr:nvSpPr>
                  <xdr:spPr>
                    <a:xfrm>
                      <a:off x="17066559" y="12360088"/>
                      <a:ext cx="201706" cy="18489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2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167" name="TextBox 166"/>
                    <xdr:cNvSpPr txBox="1"/>
                  </xdr:nvSpPr>
                  <xdr:spPr>
                    <a:xfrm>
                      <a:off x="17570823" y="12813926"/>
                      <a:ext cx="151280" cy="246529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ctr"/>
                    <a:lstStyle/>
                    <a:p>
                      <a:pPr algn="ctr"/>
                      <a:r>
                        <a:rPr lang="en-US" sz="1100"/>
                        <a:t>1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168" name="TextBox 167"/>
                    <xdr:cNvSpPr txBox="1"/>
                  </xdr:nvSpPr>
                  <xdr:spPr>
                    <a:xfrm>
                      <a:off x="16741588" y="12825132"/>
                      <a:ext cx="184897" cy="22972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3</a:t>
                      </a:r>
                      <a:endParaRPr lang="fa-IR" sz="1100"/>
                    </a:p>
                  </xdr:txBody>
                </xdr:sp>
              </xdr:grpSp>
              <xdr:grpSp>
                <xdr:nvGrpSpPr>
                  <xdr:cNvPr id="134" name="Group 54"/>
                  <xdr:cNvGrpSpPr/>
                </xdr:nvGrpSpPr>
                <xdr:grpSpPr>
                  <a:xfrm>
                    <a:off x="21067778" y="12205437"/>
                    <a:ext cx="979582" cy="805860"/>
                    <a:chOff x="16741588" y="12360088"/>
                    <a:chExt cx="980515" cy="787027"/>
                  </a:xfrm>
                </xdr:grpSpPr>
                <xdr:cxnSp macro="">
                  <xdr:nvCxnSpPr>
                    <xdr:cNvPr id="153" name="Straight Arrow Connector 152"/>
                    <xdr:cNvCxnSpPr/>
                  </xdr:nvCxnSpPr>
                  <xdr:spPr>
                    <a:xfrm>
                      <a:off x="17181819" y="12970809"/>
                      <a:ext cx="360589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54" name="Straight Arrow Connector 153"/>
                    <xdr:cNvCxnSpPr/>
                  </xdr:nvCxnSpPr>
                  <xdr:spPr>
                    <a:xfrm rot="5400000" flipH="1" flipV="1">
                      <a:off x="16997416" y="12792170"/>
                      <a:ext cx="368805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55" name="Arc 154"/>
                    <xdr:cNvSpPr/>
                  </xdr:nvSpPr>
                  <xdr:spPr>
                    <a:xfrm>
                      <a:off x="16973176" y="12807203"/>
                      <a:ext cx="419100" cy="339912"/>
                    </a:xfrm>
                    <a:prstGeom prst="arc">
                      <a:avLst>
                        <a:gd name="adj1" fmla="val 10541442"/>
                        <a:gd name="adj2" fmla="val 21385420"/>
                      </a:avLst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rtlCol="1" anchor="ctr"/>
                    <a:lstStyle/>
                    <a:p>
                      <a:pPr algn="ctr"/>
                      <a:endParaRPr lang="fa-IR" sz="1100"/>
                    </a:p>
                  </xdr:txBody>
                </xdr:sp>
                <xdr:cxnSp macro="">
                  <xdr:nvCxnSpPr>
                    <xdr:cNvPr id="156" name="Straight Connector 155"/>
                    <xdr:cNvCxnSpPr/>
                  </xdr:nvCxnSpPr>
                  <xdr:spPr>
                    <a:xfrm rot="16200000" flipV="1">
                      <a:off x="16897723" y="12927106"/>
                      <a:ext cx="125506" cy="127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57" name="Straight Connector 156"/>
                    <xdr:cNvCxnSpPr/>
                  </xdr:nvCxnSpPr>
                  <xdr:spPr>
                    <a:xfrm rot="5400000" flipH="1" flipV="1">
                      <a:off x="16966826" y="12913659"/>
                      <a:ext cx="76200" cy="762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58" name="TextBox 157"/>
                    <xdr:cNvSpPr txBox="1"/>
                  </xdr:nvSpPr>
                  <xdr:spPr>
                    <a:xfrm>
                      <a:off x="17066559" y="12360088"/>
                      <a:ext cx="201706" cy="18489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5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159" name="TextBox 158"/>
                    <xdr:cNvSpPr txBox="1"/>
                  </xdr:nvSpPr>
                  <xdr:spPr>
                    <a:xfrm>
                      <a:off x="17570823" y="12813926"/>
                      <a:ext cx="151280" cy="246529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ctr"/>
                    <a:lstStyle/>
                    <a:p>
                      <a:pPr algn="ctr"/>
                      <a:r>
                        <a:rPr lang="en-US" sz="1100"/>
                        <a:t>4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160" name="TextBox 159"/>
                    <xdr:cNvSpPr txBox="1"/>
                  </xdr:nvSpPr>
                  <xdr:spPr>
                    <a:xfrm>
                      <a:off x="16741588" y="12825132"/>
                      <a:ext cx="184897" cy="22972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6</a:t>
                      </a:r>
                      <a:endParaRPr lang="fa-IR" sz="1100"/>
                    </a:p>
                  </xdr:txBody>
                </xdr:sp>
              </xdr:grpSp>
              <xdr:grpSp>
                <xdr:nvGrpSpPr>
                  <xdr:cNvPr id="135" name="Group 64"/>
                  <xdr:cNvGrpSpPr/>
                </xdr:nvGrpSpPr>
                <xdr:grpSpPr>
                  <a:xfrm>
                    <a:off x="20991419" y="10148937"/>
                    <a:ext cx="1522133" cy="773150"/>
                    <a:chOff x="16468022" y="12360088"/>
                    <a:chExt cx="1524001" cy="787027"/>
                  </a:xfrm>
                </xdr:grpSpPr>
                <xdr:cxnSp macro="">
                  <xdr:nvCxnSpPr>
                    <xdr:cNvPr id="145" name="Straight Arrow Connector 144"/>
                    <xdr:cNvCxnSpPr/>
                  </xdr:nvCxnSpPr>
                  <xdr:spPr>
                    <a:xfrm>
                      <a:off x="17181819" y="12970809"/>
                      <a:ext cx="360589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46" name="Straight Arrow Connector 145"/>
                    <xdr:cNvCxnSpPr/>
                  </xdr:nvCxnSpPr>
                  <xdr:spPr>
                    <a:xfrm rot="5400000" flipH="1" flipV="1">
                      <a:off x="16997416" y="12792170"/>
                      <a:ext cx="368805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47" name="Arc 146"/>
                    <xdr:cNvSpPr/>
                  </xdr:nvSpPr>
                  <xdr:spPr>
                    <a:xfrm>
                      <a:off x="16973176" y="12807203"/>
                      <a:ext cx="419100" cy="339912"/>
                    </a:xfrm>
                    <a:prstGeom prst="arc">
                      <a:avLst>
                        <a:gd name="adj1" fmla="val 10541442"/>
                        <a:gd name="adj2" fmla="val 21385420"/>
                      </a:avLst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rtlCol="1" anchor="ctr"/>
                    <a:lstStyle/>
                    <a:p>
                      <a:pPr algn="ctr"/>
                      <a:endParaRPr lang="fa-IR" sz="1100"/>
                    </a:p>
                  </xdr:txBody>
                </xdr:sp>
                <xdr:cxnSp macro="">
                  <xdr:nvCxnSpPr>
                    <xdr:cNvPr id="148" name="Straight Connector 147"/>
                    <xdr:cNvCxnSpPr/>
                  </xdr:nvCxnSpPr>
                  <xdr:spPr>
                    <a:xfrm rot="16200000" flipV="1">
                      <a:off x="16897723" y="12927106"/>
                      <a:ext cx="125506" cy="127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49" name="Straight Connector 148"/>
                    <xdr:cNvCxnSpPr/>
                  </xdr:nvCxnSpPr>
                  <xdr:spPr>
                    <a:xfrm rot="5400000" flipH="1" flipV="1">
                      <a:off x="16966826" y="12913659"/>
                      <a:ext cx="76200" cy="762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50" name="TextBox 149"/>
                    <xdr:cNvSpPr txBox="1"/>
                  </xdr:nvSpPr>
                  <xdr:spPr>
                    <a:xfrm>
                      <a:off x="17066558" y="12360088"/>
                      <a:ext cx="404391" cy="18489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11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151" name="TextBox 150"/>
                    <xdr:cNvSpPr txBox="1"/>
                  </xdr:nvSpPr>
                  <xdr:spPr>
                    <a:xfrm>
                      <a:off x="17654867" y="12819529"/>
                      <a:ext cx="337156" cy="246529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ctr"/>
                    <a:lstStyle/>
                    <a:p>
                      <a:pPr algn="ctr"/>
                      <a:r>
                        <a:rPr lang="en-US" sz="1100"/>
                        <a:t>10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152" name="TextBox 151"/>
                    <xdr:cNvSpPr txBox="1"/>
                  </xdr:nvSpPr>
                  <xdr:spPr>
                    <a:xfrm>
                      <a:off x="16468022" y="12825132"/>
                      <a:ext cx="414619" cy="22972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pPr algn="r"/>
                      <a:r>
                        <a:rPr lang="en-US" sz="1100"/>
                        <a:t>12</a:t>
                      </a:r>
                      <a:endParaRPr lang="fa-IR" sz="1100"/>
                    </a:p>
                  </xdr:txBody>
                </xdr:sp>
              </xdr:grpSp>
              <xdr:grpSp>
                <xdr:nvGrpSpPr>
                  <xdr:cNvPr id="136" name="Group 73"/>
                  <xdr:cNvGrpSpPr/>
                </xdr:nvGrpSpPr>
                <xdr:grpSpPr>
                  <a:xfrm>
                    <a:off x="17114343" y="9593663"/>
                    <a:ext cx="979582" cy="768194"/>
                    <a:chOff x="16741588" y="12360088"/>
                    <a:chExt cx="980515" cy="787027"/>
                  </a:xfrm>
                </xdr:grpSpPr>
                <xdr:cxnSp macro="">
                  <xdr:nvCxnSpPr>
                    <xdr:cNvPr id="137" name="Straight Arrow Connector 136"/>
                    <xdr:cNvCxnSpPr/>
                  </xdr:nvCxnSpPr>
                  <xdr:spPr>
                    <a:xfrm>
                      <a:off x="17181819" y="12970809"/>
                      <a:ext cx="360589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38" name="Straight Arrow Connector 137"/>
                    <xdr:cNvCxnSpPr/>
                  </xdr:nvCxnSpPr>
                  <xdr:spPr>
                    <a:xfrm rot="5400000" flipH="1" flipV="1">
                      <a:off x="16997416" y="12792170"/>
                      <a:ext cx="368805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39" name="Arc 138"/>
                    <xdr:cNvSpPr/>
                  </xdr:nvSpPr>
                  <xdr:spPr>
                    <a:xfrm>
                      <a:off x="16973176" y="12807203"/>
                      <a:ext cx="419100" cy="339912"/>
                    </a:xfrm>
                    <a:prstGeom prst="arc">
                      <a:avLst>
                        <a:gd name="adj1" fmla="val 10541442"/>
                        <a:gd name="adj2" fmla="val 21385420"/>
                      </a:avLst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rtlCol="1" anchor="ctr"/>
                    <a:lstStyle/>
                    <a:p>
                      <a:pPr algn="ctr"/>
                      <a:endParaRPr lang="fa-IR" sz="1100"/>
                    </a:p>
                  </xdr:txBody>
                </xdr:sp>
                <xdr:cxnSp macro="">
                  <xdr:nvCxnSpPr>
                    <xdr:cNvPr id="140" name="Straight Connector 139"/>
                    <xdr:cNvCxnSpPr/>
                  </xdr:nvCxnSpPr>
                  <xdr:spPr>
                    <a:xfrm rot="16200000" flipV="1">
                      <a:off x="16897723" y="12927106"/>
                      <a:ext cx="125506" cy="127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41" name="Straight Connector 140"/>
                    <xdr:cNvCxnSpPr/>
                  </xdr:nvCxnSpPr>
                  <xdr:spPr>
                    <a:xfrm rot="5400000" flipH="1" flipV="1">
                      <a:off x="16966826" y="12913659"/>
                      <a:ext cx="76200" cy="762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42" name="TextBox 141"/>
                    <xdr:cNvSpPr txBox="1"/>
                  </xdr:nvSpPr>
                  <xdr:spPr>
                    <a:xfrm>
                      <a:off x="17066559" y="12360088"/>
                      <a:ext cx="201706" cy="18489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8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143" name="TextBox 142"/>
                    <xdr:cNvSpPr txBox="1"/>
                  </xdr:nvSpPr>
                  <xdr:spPr>
                    <a:xfrm>
                      <a:off x="17570823" y="12813926"/>
                      <a:ext cx="151280" cy="246529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ctr"/>
                    <a:lstStyle/>
                    <a:p>
                      <a:pPr algn="ctr"/>
                      <a:r>
                        <a:rPr lang="en-US" sz="1100"/>
                        <a:t>7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144" name="TextBox 143"/>
                    <xdr:cNvSpPr txBox="1"/>
                  </xdr:nvSpPr>
                  <xdr:spPr>
                    <a:xfrm>
                      <a:off x="16741588" y="12825132"/>
                      <a:ext cx="184897" cy="22972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9</a:t>
                      </a:r>
                      <a:endParaRPr lang="fa-IR" sz="1100"/>
                    </a:p>
                  </xdr:txBody>
                </xdr:sp>
              </xdr:grpSp>
            </xdr:grpSp>
            <xdr:grpSp>
              <xdr:nvGrpSpPr>
                <xdr:cNvPr id="117" name="Group 91"/>
                <xdr:cNvGrpSpPr/>
              </xdr:nvGrpSpPr>
              <xdr:grpSpPr>
                <a:xfrm>
                  <a:off x="18229792" y="13061186"/>
                  <a:ext cx="2808816" cy="181042"/>
                  <a:chOff x="18225336" y="13064289"/>
                  <a:chExt cx="2804360" cy="180474"/>
                </a:xfrm>
              </xdr:grpSpPr>
              <xdr:cxnSp macro="">
                <xdr:nvCxnSpPr>
                  <xdr:cNvPr id="128" name="Straight Arrow Connector 127"/>
                  <xdr:cNvCxnSpPr/>
                </xdr:nvCxnSpPr>
                <xdr:spPr>
                  <a:xfrm>
                    <a:off x="18225336" y="13160542"/>
                    <a:ext cx="2804360" cy="1588"/>
                  </a:xfrm>
                  <a:prstGeom prst="straightConnector1">
                    <a:avLst/>
                  </a:prstGeom>
                  <a:ln>
                    <a:headEnd type="arrow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9" name="Straight Connector 128"/>
                  <xdr:cNvCxnSpPr/>
                </xdr:nvCxnSpPr>
                <xdr:spPr>
                  <a:xfrm rot="5400000">
                    <a:off x="18155842" y="13161355"/>
                    <a:ext cx="144000" cy="158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30" name="Straight Connector 129"/>
                  <xdr:cNvCxnSpPr/>
                </xdr:nvCxnSpPr>
                <xdr:spPr>
                  <a:xfrm rot="5400000">
                    <a:off x="20948171" y="13161355"/>
                    <a:ext cx="144000" cy="158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31" name="TextBox 130"/>
                  <xdr:cNvSpPr txBox="1"/>
                </xdr:nvSpPr>
                <xdr:spPr>
                  <a:xfrm>
                    <a:off x="19265566" y="13064289"/>
                    <a:ext cx="571500" cy="18047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ctr"/>
                  <a:lstStyle/>
                  <a:p>
                    <a:pPr algn="ctr"/>
                    <a:r>
                      <a:rPr lang="en-US" sz="1100"/>
                      <a:t>L</a:t>
                    </a:r>
                    <a:endParaRPr lang="fa-IR" sz="1100"/>
                  </a:p>
                </xdr:txBody>
              </xdr:sp>
            </xdr:grpSp>
            <xdr:grpSp>
              <xdr:nvGrpSpPr>
                <xdr:cNvPr id="118" name="Group 100"/>
                <xdr:cNvGrpSpPr/>
              </xdr:nvGrpSpPr>
              <xdr:grpSpPr>
                <a:xfrm>
                  <a:off x="16973177" y="10025062"/>
                  <a:ext cx="380999" cy="2903274"/>
                  <a:chOff x="16960103" y="10023194"/>
                  <a:chExt cx="380999" cy="2900784"/>
                </a:xfrm>
              </xdr:grpSpPr>
              <xdr:cxnSp macro="">
                <xdr:nvCxnSpPr>
                  <xdr:cNvPr id="124" name="Straight Arrow Connector 123"/>
                  <xdr:cNvCxnSpPr/>
                </xdr:nvCxnSpPr>
                <xdr:spPr>
                  <a:xfrm rot="5400000" flipH="1" flipV="1">
                    <a:off x="15638276" y="11477158"/>
                    <a:ext cx="2892052" cy="1588"/>
                  </a:xfrm>
                  <a:prstGeom prst="straightConnector1">
                    <a:avLst/>
                  </a:prstGeom>
                  <a:ln>
                    <a:headEnd type="arrow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5" name="Straight Connector 124"/>
                  <xdr:cNvCxnSpPr/>
                </xdr:nvCxnSpPr>
                <xdr:spPr>
                  <a:xfrm>
                    <a:off x="17012865" y="10023194"/>
                    <a:ext cx="144000" cy="158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6" name="Straight Connector 125"/>
                  <xdr:cNvCxnSpPr/>
                </xdr:nvCxnSpPr>
                <xdr:spPr>
                  <a:xfrm>
                    <a:off x="17016132" y="12914779"/>
                    <a:ext cx="144000" cy="158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27" name="TextBox 126"/>
                  <xdr:cNvSpPr txBox="1"/>
                </xdr:nvSpPr>
                <xdr:spPr>
                  <a:xfrm>
                    <a:off x="16960103" y="11155456"/>
                    <a:ext cx="380999" cy="633132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ctr"/>
                  <a:lstStyle/>
                  <a:p>
                    <a:pPr algn="ctr"/>
                    <a:r>
                      <a:rPr lang="en-US" sz="1100"/>
                      <a:t>h1</a:t>
                    </a:r>
                    <a:endParaRPr lang="fa-IR" sz="1100"/>
                  </a:p>
                </xdr:txBody>
              </xdr:sp>
            </xdr:grpSp>
            <xdr:grpSp>
              <xdr:nvGrpSpPr>
                <xdr:cNvPr id="119" name="Group 106"/>
                <xdr:cNvGrpSpPr/>
              </xdr:nvGrpSpPr>
              <xdr:grpSpPr>
                <a:xfrm>
                  <a:off x="22105294" y="10762005"/>
                  <a:ext cx="385317" cy="2178704"/>
                  <a:chOff x="16960103" y="10023194"/>
                  <a:chExt cx="380999" cy="2900784"/>
                </a:xfrm>
              </xdr:grpSpPr>
              <xdr:cxnSp macro="">
                <xdr:nvCxnSpPr>
                  <xdr:cNvPr id="120" name="Straight Arrow Connector 119"/>
                  <xdr:cNvCxnSpPr/>
                </xdr:nvCxnSpPr>
                <xdr:spPr>
                  <a:xfrm rot="5400000" flipH="1" flipV="1">
                    <a:off x="15638276" y="11477158"/>
                    <a:ext cx="2892052" cy="1588"/>
                  </a:xfrm>
                  <a:prstGeom prst="straightConnector1">
                    <a:avLst/>
                  </a:prstGeom>
                  <a:ln>
                    <a:headEnd type="arrow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1" name="Straight Connector 120"/>
                  <xdr:cNvCxnSpPr/>
                </xdr:nvCxnSpPr>
                <xdr:spPr>
                  <a:xfrm>
                    <a:off x="17012865" y="10023194"/>
                    <a:ext cx="144000" cy="158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22" name="Straight Connector 121"/>
                  <xdr:cNvCxnSpPr/>
                </xdr:nvCxnSpPr>
                <xdr:spPr>
                  <a:xfrm>
                    <a:off x="17016132" y="12914779"/>
                    <a:ext cx="144000" cy="158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23" name="TextBox 122"/>
                  <xdr:cNvSpPr txBox="1"/>
                </xdr:nvSpPr>
                <xdr:spPr>
                  <a:xfrm>
                    <a:off x="16960103" y="11155456"/>
                    <a:ext cx="380999" cy="633132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ctr"/>
                  <a:lstStyle/>
                  <a:p>
                    <a:pPr algn="ctr"/>
                    <a:r>
                      <a:rPr lang="en-US" sz="1100"/>
                      <a:t>h2</a:t>
                    </a:r>
                    <a:endParaRPr lang="fa-IR" sz="1100"/>
                  </a:p>
                </xdr:txBody>
              </xdr:sp>
            </xdr:grpSp>
          </xdr:grpSp>
          <xdr:sp macro="" textlink="">
            <xdr:nvSpPr>
              <xdr:cNvPr id="297" name="Oval 296"/>
              <xdr:cNvSpPr/>
            </xdr:nvSpPr>
            <xdr:spPr>
              <a:xfrm>
                <a:off x="20965508" y="23746325"/>
                <a:ext cx="108000" cy="108000"/>
              </a:xfrm>
              <a:prstGeom prst="ellips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tlCol="1" anchor="ctr"/>
              <a:lstStyle/>
              <a:p>
                <a:pPr algn="ctr"/>
                <a:endParaRPr lang="fa-IR" sz="1100"/>
              </a:p>
            </xdr:txBody>
          </xdr:sp>
        </xdr:grpSp>
        <xdr:sp macro="" textlink="">
          <xdr:nvSpPr>
            <xdr:cNvPr id="302" name="Oval 301"/>
            <xdr:cNvSpPr/>
          </xdr:nvSpPr>
          <xdr:spPr>
            <a:xfrm>
              <a:off x="20974049" y="21939250"/>
              <a:ext cx="108000" cy="10800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</xdr:grpSp>
      <xdr:grpSp>
        <xdr:nvGrpSpPr>
          <xdr:cNvPr id="322" name="Group 321"/>
          <xdr:cNvGrpSpPr/>
        </xdr:nvGrpSpPr>
        <xdr:grpSpPr>
          <a:xfrm>
            <a:off x="20513373" y="21582283"/>
            <a:ext cx="613025" cy="333854"/>
            <a:chOff x="20387064" y="21228659"/>
            <a:chExt cx="616301" cy="332447"/>
          </a:xfrm>
        </xdr:grpSpPr>
        <xdr:sp macro="" textlink="">
          <xdr:nvSpPr>
            <xdr:cNvPr id="314" name="Arc 313"/>
            <xdr:cNvSpPr/>
          </xdr:nvSpPr>
          <xdr:spPr>
            <a:xfrm>
              <a:off x="20622365" y="21228659"/>
              <a:ext cx="381000" cy="309341"/>
            </a:xfrm>
            <a:prstGeom prst="arc">
              <a:avLst>
                <a:gd name="adj1" fmla="val 11080648"/>
                <a:gd name="adj2" fmla="val 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  <xdr:cxnSp macro="">
          <xdr:nvCxnSpPr>
            <xdr:cNvPr id="316" name="Straight Connector 315"/>
            <xdr:cNvCxnSpPr/>
          </xdr:nvCxnSpPr>
          <xdr:spPr>
            <a:xfrm rot="5400000" flipH="1" flipV="1">
              <a:off x="20560730" y="21312704"/>
              <a:ext cx="112059" cy="158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8" name="Straight Connector 317"/>
            <xdr:cNvCxnSpPr/>
          </xdr:nvCxnSpPr>
          <xdr:spPr>
            <a:xfrm flipV="1">
              <a:off x="20622362" y="21318306"/>
              <a:ext cx="61632" cy="5042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21" name="TextBox 320"/>
            <xdr:cNvSpPr txBox="1"/>
          </xdr:nvSpPr>
          <xdr:spPr>
            <a:xfrm>
              <a:off x="20387064" y="21434492"/>
              <a:ext cx="427278" cy="12661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1" anchor="ctr"/>
            <a:lstStyle/>
            <a:p>
              <a:r>
                <a:rPr lang="en-US" sz="1100"/>
                <a:t>13</a:t>
              </a:r>
              <a:endParaRPr lang="fa-IR" sz="1100"/>
            </a:p>
          </xdr:txBody>
        </xdr:sp>
      </xdr:grpSp>
      <xdr:sp macro="" textlink="">
        <xdr:nvSpPr>
          <xdr:cNvPr id="313" name="Rectangle 312"/>
          <xdr:cNvSpPr/>
        </xdr:nvSpPr>
        <xdr:spPr>
          <a:xfrm>
            <a:off x="18417886" y="23682615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1</a:t>
            </a:r>
            <a:endParaRPr lang="fa-IR" sz="1100"/>
          </a:p>
        </xdr:txBody>
      </xdr:sp>
      <xdr:sp macro="" textlink="">
        <xdr:nvSpPr>
          <xdr:cNvPr id="315" name="Rectangle 314"/>
          <xdr:cNvSpPr/>
        </xdr:nvSpPr>
        <xdr:spPr>
          <a:xfrm>
            <a:off x="18327586" y="21141788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2</a:t>
            </a:r>
            <a:endParaRPr lang="fa-IR" sz="1100"/>
          </a:p>
        </xdr:txBody>
      </xdr:sp>
      <xdr:sp macro="" textlink="">
        <xdr:nvSpPr>
          <xdr:cNvPr id="317" name="Rectangle 316"/>
          <xdr:cNvSpPr/>
        </xdr:nvSpPr>
        <xdr:spPr>
          <a:xfrm>
            <a:off x="20509677" y="22016355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3</a:t>
            </a:r>
            <a:endParaRPr lang="fa-IR" sz="1100"/>
          </a:p>
        </xdr:txBody>
      </xdr:sp>
      <xdr:sp macro="" textlink="">
        <xdr:nvSpPr>
          <xdr:cNvPr id="319" name="Rectangle 318"/>
          <xdr:cNvSpPr/>
        </xdr:nvSpPr>
        <xdr:spPr>
          <a:xfrm>
            <a:off x="20526994" y="23661583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4</a:t>
            </a:r>
            <a:endParaRPr lang="fa-IR" sz="1100"/>
          </a:p>
        </xdr:txBody>
      </xdr:sp>
    </xdr:grpSp>
    <xdr:clientData/>
  </xdr:twoCellAnchor>
  <xdr:twoCellAnchor>
    <xdr:from>
      <xdr:col>22</xdr:col>
      <xdr:colOff>23812</xdr:colOff>
      <xdr:row>168</xdr:row>
      <xdr:rowOff>23813</xdr:rowOff>
    </xdr:from>
    <xdr:to>
      <xdr:col>31</xdr:col>
      <xdr:colOff>23814</xdr:colOff>
      <xdr:row>189</xdr:row>
      <xdr:rowOff>702</xdr:rowOff>
    </xdr:to>
    <xdr:grpSp>
      <xdr:nvGrpSpPr>
        <xdr:cNvPr id="416" name="Group 415"/>
        <xdr:cNvGrpSpPr/>
      </xdr:nvGrpSpPr>
      <xdr:grpSpPr>
        <a:xfrm>
          <a:off x="15319841" y="32756195"/>
          <a:ext cx="5446061" cy="4111860"/>
          <a:chOff x="16952335" y="31707427"/>
          <a:chExt cx="6156615" cy="3986048"/>
        </a:xfrm>
      </xdr:grpSpPr>
      <xdr:grpSp>
        <xdr:nvGrpSpPr>
          <xdr:cNvPr id="305" name="Group 304"/>
          <xdr:cNvGrpSpPr/>
        </xdr:nvGrpSpPr>
        <xdr:grpSpPr>
          <a:xfrm>
            <a:off x="16952335" y="31707427"/>
            <a:ext cx="6156615" cy="3986048"/>
            <a:chOff x="16965612" y="32065913"/>
            <a:chExt cx="6172202" cy="4040889"/>
          </a:xfrm>
        </xdr:grpSpPr>
        <xdr:grpSp>
          <xdr:nvGrpSpPr>
            <xdr:cNvPr id="295" name="Group 294"/>
            <xdr:cNvGrpSpPr/>
          </xdr:nvGrpSpPr>
          <xdr:grpSpPr>
            <a:xfrm>
              <a:off x="16965612" y="32065913"/>
              <a:ext cx="6172202" cy="4040889"/>
              <a:chOff x="16965612" y="32065913"/>
              <a:chExt cx="6172202" cy="4040889"/>
            </a:xfrm>
          </xdr:grpSpPr>
          <xdr:grpSp>
            <xdr:nvGrpSpPr>
              <xdr:cNvPr id="174" name="Group 173"/>
              <xdr:cNvGrpSpPr/>
            </xdr:nvGrpSpPr>
            <xdr:grpSpPr>
              <a:xfrm>
                <a:off x="16965612" y="32065913"/>
                <a:ext cx="6172202" cy="4040889"/>
                <a:chOff x="16917458" y="9537529"/>
                <a:chExt cx="6191251" cy="3945639"/>
              </a:xfrm>
            </xdr:grpSpPr>
            <xdr:sp macro="" textlink="">
              <xdr:nvSpPr>
                <xdr:cNvPr id="175" name="Rectangle 174"/>
                <xdr:cNvSpPr/>
              </xdr:nvSpPr>
              <xdr:spPr>
                <a:xfrm>
                  <a:off x="16917458" y="9537529"/>
                  <a:ext cx="6191251" cy="3945639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rtlCol="1" anchor="ctr"/>
                <a:lstStyle/>
                <a:p>
                  <a:pPr algn="ctr"/>
                  <a:endParaRPr lang="fa-IR" sz="1100"/>
                </a:p>
              </xdr:txBody>
            </xdr:sp>
            <xdr:grpSp>
              <xdr:nvGrpSpPr>
                <xdr:cNvPr id="176" name="Group 83"/>
                <xdr:cNvGrpSpPr/>
              </xdr:nvGrpSpPr>
              <xdr:grpSpPr>
                <a:xfrm>
                  <a:off x="17130219" y="9598942"/>
                  <a:ext cx="5441542" cy="3491057"/>
                  <a:chOff x="17114343" y="9593663"/>
                  <a:chExt cx="5399209" cy="3464558"/>
                </a:xfrm>
              </xdr:grpSpPr>
              <xdr:grpSp>
                <xdr:nvGrpSpPr>
                  <xdr:cNvPr id="192" name="Group 191"/>
                  <xdr:cNvGrpSpPr/>
                </xdr:nvGrpSpPr>
                <xdr:grpSpPr>
                  <a:xfrm>
                    <a:off x="18125679" y="10093325"/>
                    <a:ext cx="2933515" cy="2802164"/>
                    <a:chOff x="18145131" y="10116004"/>
                    <a:chExt cx="2955852" cy="2819173"/>
                  </a:xfrm>
                </xdr:grpSpPr>
                <xdr:cxnSp macro="">
                  <xdr:nvCxnSpPr>
                    <xdr:cNvPr id="229" name="Straight Connector 4"/>
                    <xdr:cNvCxnSpPr/>
                  </xdr:nvCxnSpPr>
                  <xdr:spPr>
                    <a:xfrm rot="5400000" flipH="1" flipV="1">
                      <a:off x="16822682" y="11522699"/>
                      <a:ext cx="2814978" cy="1588"/>
                    </a:xfrm>
                    <a:prstGeom prst="line">
                      <a:avLst/>
                    </a:prstGeom>
                    <a:effectLst/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30" name="Straight Connector 6"/>
                    <xdr:cNvCxnSpPr/>
                  </xdr:nvCxnSpPr>
                  <xdr:spPr>
                    <a:xfrm>
                      <a:off x="18225408" y="10117592"/>
                      <a:ext cx="2777218" cy="681378"/>
                    </a:xfrm>
                    <a:prstGeom prst="line">
                      <a:avLst/>
                    </a:prstGeom>
                    <a:effectLst/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31" name="Straight Connector 8"/>
                    <xdr:cNvCxnSpPr/>
                  </xdr:nvCxnSpPr>
                  <xdr:spPr>
                    <a:xfrm rot="5400000">
                      <a:off x="19941403" y="11860235"/>
                      <a:ext cx="2122490" cy="1547"/>
                    </a:xfrm>
                    <a:prstGeom prst="line">
                      <a:avLst/>
                    </a:prstGeom>
                    <a:effectLst/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32" name="Straight Connector 231"/>
                    <xdr:cNvCxnSpPr/>
                  </xdr:nvCxnSpPr>
                  <xdr:spPr>
                    <a:xfrm>
                      <a:off x="18145131" y="12933589"/>
                      <a:ext cx="180000" cy="1588"/>
                    </a:xfrm>
                    <a:prstGeom prst="line">
                      <a:avLst/>
                    </a:prstGeom>
                    <a:effectLst/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33" name="Straight Connector 232"/>
                    <xdr:cNvCxnSpPr/>
                  </xdr:nvCxnSpPr>
                  <xdr:spPr>
                    <a:xfrm>
                      <a:off x="20920983" y="12923376"/>
                      <a:ext cx="180000" cy="1588"/>
                    </a:xfrm>
                    <a:prstGeom prst="line">
                      <a:avLst/>
                    </a:prstGeom>
                    <a:effectLst/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193" name="Group 52"/>
                  <xdr:cNvGrpSpPr/>
                </xdr:nvGrpSpPr>
                <xdr:grpSpPr>
                  <a:xfrm>
                    <a:off x="17136578" y="12252361"/>
                    <a:ext cx="978647" cy="805860"/>
                    <a:chOff x="16741588" y="12360088"/>
                    <a:chExt cx="980515" cy="787027"/>
                  </a:xfrm>
                </xdr:grpSpPr>
                <xdr:cxnSp macro="">
                  <xdr:nvCxnSpPr>
                    <xdr:cNvPr id="221" name="Straight Arrow Connector 21"/>
                    <xdr:cNvCxnSpPr/>
                  </xdr:nvCxnSpPr>
                  <xdr:spPr>
                    <a:xfrm>
                      <a:off x="17181819" y="12970809"/>
                      <a:ext cx="360589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2" name="Straight Arrow Connector 23"/>
                    <xdr:cNvCxnSpPr/>
                  </xdr:nvCxnSpPr>
                  <xdr:spPr>
                    <a:xfrm rot="5400000" flipH="1" flipV="1">
                      <a:off x="16997416" y="12792170"/>
                      <a:ext cx="368805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23" name="Arc 222"/>
                    <xdr:cNvSpPr/>
                  </xdr:nvSpPr>
                  <xdr:spPr>
                    <a:xfrm>
                      <a:off x="16973176" y="12807203"/>
                      <a:ext cx="419100" cy="339912"/>
                    </a:xfrm>
                    <a:prstGeom prst="arc">
                      <a:avLst>
                        <a:gd name="adj1" fmla="val 10541442"/>
                        <a:gd name="adj2" fmla="val 21385420"/>
                      </a:avLst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rtlCol="1" anchor="ctr"/>
                    <a:lstStyle/>
                    <a:p>
                      <a:pPr algn="ctr"/>
                      <a:endParaRPr lang="fa-IR" sz="1100"/>
                    </a:p>
                  </xdr:txBody>
                </xdr:sp>
                <xdr:cxnSp macro="">
                  <xdr:nvCxnSpPr>
                    <xdr:cNvPr id="224" name="Straight Connector 223"/>
                    <xdr:cNvCxnSpPr/>
                  </xdr:nvCxnSpPr>
                  <xdr:spPr>
                    <a:xfrm rot="16200000" flipV="1">
                      <a:off x="16897723" y="12927106"/>
                      <a:ext cx="125506" cy="127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5" name="Straight Connector 224"/>
                    <xdr:cNvCxnSpPr/>
                  </xdr:nvCxnSpPr>
                  <xdr:spPr>
                    <a:xfrm rot="5400000" flipH="1" flipV="1">
                      <a:off x="16966826" y="12913659"/>
                      <a:ext cx="76200" cy="762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26" name="TextBox 225"/>
                    <xdr:cNvSpPr txBox="1"/>
                  </xdr:nvSpPr>
                  <xdr:spPr>
                    <a:xfrm>
                      <a:off x="17066559" y="12360088"/>
                      <a:ext cx="201706" cy="18489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2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227" name="TextBox 226"/>
                    <xdr:cNvSpPr txBox="1"/>
                  </xdr:nvSpPr>
                  <xdr:spPr>
                    <a:xfrm>
                      <a:off x="17570823" y="12813926"/>
                      <a:ext cx="151280" cy="246529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ctr"/>
                    <a:lstStyle/>
                    <a:p>
                      <a:pPr algn="ctr"/>
                      <a:r>
                        <a:rPr lang="en-US" sz="1100"/>
                        <a:t>1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228" name="TextBox 227"/>
                    <xdr:cNvSpPr txBox="1"/>
                  </xdr:nvSpPr>
                  <xdr:spPr>
                    <a:xfrm>
                      <a:off x="16741588" y="12825132"/>
                      <a:ext cx="184897" cy="22972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3</a:t>
                      </a:r>
                      <a:endParaRPr lang="fa-IR" sz="1100"/>
                    </a:p>
                  </xdr:txBody>
                </xdr:sp>
              </xdr:grpSp>
              <xdr:grpSp>
                <xdr:nvGrpSpPr>
                  <xdr:cNvPr id="194" name="Group 54"/>
                  <xdr:cNvGrpSpPr/>
                </xdr:nvGrpSpPr>
                <xdr:grpSpPr>
                  <a:xfrm>
                    <a:off x="21067778" y="12205437"/>
                    <a:ext cx="979582" cy="805860"/>
                    <a:chOff x="16741588" y="12360088"/>
                    <a:chExt cx="980515" cy="787027"/>
                  </a:xfrm>
                </xdr:grpSpPr>
                <xdr:cxnSp macro="">
                  <xdr:nvCxnSpPr>
                    <xdr:cNvPr id="213" name="Straight Arrow Connector 212"/>
                    <xdr:cNvCxnSpPr/>
                  </xdr:nvCxnSpPr>
                  <xdr:spPr>
                    <a:xfrm>
                      <a:off x="17181819" y="12970809"/>
                      <a:ext cx="360589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Arrow Connector 213"/>
                    <xdr:cNvCxnSpPr/>
                  </xdr:nvCxnSpPr>
                  <xdr:spPr>
                    <a:xfrm rot="5400000" flipH="1" flipV="1">
                      <a:off x="16997416" y="12792170"/>
                      <a:ext cx="368805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15" name="Arc 214"/>
                    <xdr:cNvSpPr/>
                  </xdr:nvSpPr>
                  <xdr:spPr>
                    <a:xfrm>
                      <a:off x="16973176" y="12807203"/>
                      <a:ext cx="419100" cy="339912"/>
                    </a:xfrm>
                    <a:prstGeom prst="arc">
                      <a:avLst>
                        <a:gd name="adj1" fmla="val 10541442"/>
                        <a:gd name="adj2" fmla="val 21385420"/>
                      </a:avLst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rtlCol="1" anchor="ctr"/>
                    <a:lstStyle/>
                    <a:p>
                      <a:pPr algn="ctr"/>
                      <a:endParaRPr lang="fa-IR" sz="1100"/>
                    </a:p>
                  </xdr:txBody>
                </xdr:sp>
                <xdr:cxnSp macro="">
                  <xdr:nvCxnSpPr>
                    <xdr:cNvPr id="216" name="Straight Connector 215"/>
                    <xdr:cNvCxnSpPr/>
                  </xdr:nvCxnSpPr>
                  <xdr:spPr>
                    <a:xfrm rot="16200000" flipV="1">
                      <a:off x="16897723" y="12927106"/>
                      <a:ext cx="125506" cy="127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7" name="Straight Connector 216"/>
                    <xdr:cNvCxnSpPr/>
                  </xdr:nvCxnSpPr>
                  <xdr:spPr>
                    <a:xfrm rot="5400000" flipH="1" flipV="1">
                      <a:off x="16966826" y="12913659"/>
                      <a:ext cx="76200" cy="762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18" name="TextBox 217"/>
                    <xdr:cNvSpPr txBox="1"/>
                  </xdr:nvSpPr>
                  <xdr:spPr>
                    <a:xfrm>
                      <a:off x="17066559" y="12360088"/>
                      <a:ext cx="201706" cy="18489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5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219" name="TextBox 218"/>
                    <xdr:cNvSpPr txBox="1"/>
                  </xdr:nvSpPr>
                  <xdr:spPr>
                    <a:xfrm>
                      <a:off x="17570823" y="12813926"/>
                      <a:ext cx="151280" cy="246529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ctr"/>
                    <a:lstStyle/>
                    <a:p>
                      <a:pPr algn="ctr"/>
                      <a:r>
                        <a:rPr lang="en-US" sz="1100"/>
                        <a:t>4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220" name="TextBox 219"/>
                    <xdr:cNvSpPr txBox="1"/>
                  </xdr:nvSpPr>
                  <xdr:spPr>
                    <a:xfrm>
                      <a:off x="16741588" y="12825132"/>
                      <a:ext cx="184897" cy="22972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6</a:t>
                      </a:r>
                      <a:endParaRPr lang="fa-IR" sz="1100"/>
                    </a:p>
                  </xdr:txBody>
                </xdr:sp>
              </xdr:grpSp>
              <xdr:grpSp>
                <xdr:nvGrpSpPr>
                  <xdr:cNvPr id="195" name="Group 64"/>
                  <xdr:cNvGrpSpPr/>
                </xdr:nvGrpSpPr>
                <xdr:grpSpPr>
                  <a:xfrm>
                    <a:off x="20991419" y="10148937"/>
                    <a:ext cx="1522133" cy="773150"/>
                    <a:chOff x="16468022" y="12360088"/>
                    <a:chExt cx="1524001" cy="787027"/>
                  </a:xfrm>
                </xdr:grpSpPr>
                <xdr:cxnSp macro="">
                  <xdr:nvCxnSpPr>
                    <xdr:cNvPr id="205" name="Straight Arrow Connector 204"/>
                    <xdr:cNvCxnSpPr/>
                  </xdr:nvCxnSpPr>
                  <xdr:spPr>
                    <a:xfrm>
                      <a:off x="17181819" y="12970809"/>
                      <a:ext cx="360589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06" name="Straight Arrow Connector 205"/>
                    <xdr:cNvCxnSpPr/>
                  </xdr:nvCxnSpPr>
                  <xdr:spPr>
                    <a:xfrm rot="5400000" flipH="1" flipV="1">
                      <a:off x="16997416" y="12792170"/>
                      <a:ext cx="368805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07" name="Arc 206"/>
                    <xdr:cNvSpPr/>
                  </xdr:nvSpPr>
                  <xdr:spPr>
                    <a:xfrm>
                      <a:off x="16973176" y="12807203"/>
                      <a:ext cx="419100" cy="339912"/>
                    </a:xfrm>
                    <a:prstGeom prst="arc">
                      <a:avLst>
                        <a:gd name="adj1" fmla="val 10541442"/>
                        <a:gd name="adj2" fmla="val 21385420"/>
                      </a:avLst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rtlCol="1" anchor="ctr"/>
                    <a:lstStyle/>
                    <a:p>
                      <a:pPr algn="ctr"/>
                      <a:endParaRPr lang="fa-IR" sz="1100"/>
                    </a:p>
                  </xdr:txBody>
                </xdr:sp>
                <xdr:cxnSp macro="">
                  <xdr:nvCxnSpPr>
                    <xdr:cNvPr id="208" name="Straight Connector 207"/>
                    <xdr:cNvCxnSpPr/>
                  </xdr:nvCxnSpPr>
                  <xdr:spPr>
                    <a:xfrm rot="16200000" flipV="1">
                      <a:off x="16897723" y="12927106"/>
                      <a:ext cx="125506" cy="127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09" name="Straight Connector 208"/>
                    <xdr:cNvCxnSpPr/>
                  </xdr:nvCxnSpPr>
                  <xdr:spPr>
                    <a:xfrm rot="5400000" flipH="1" flipV="1">
                      <a:off x="16966826" y="12913659"/>
                      <a:ext cx="76200" cy="762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10" name="TextBox 209"/>
                    <xdr:cNvSpPr txBox="1"/>
                  </xdr:nvSpPr>
                  <xdr:spPr>
                    <a:xfrm>
                      <a:off x="17066558" y="12360088"/>
                      <a:ext cx="404391" cy="18489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11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211" name="TextBox 210"/>
                    <xdr:cNvSpPr txBox="1"/>
                  </xdr:nvSpPr>
                  <xdr:spPr>
                    <a:xfrm>
                      <a:off x="17654867" y="12819529"/>
                      <a:ext cx="337156" cy="246529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ctr"/>
                    <a:lstStyle/>
                    <a:p>
                      <a:pPr algn="ctr"/>
                      <a:r>
                        <a:rPr lang="en-US" sz="1100"/>
                        <a:t>10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212" name="TextBox 211"/>
                    <xdr:cNvSpPr txBox="1"/>
                  </xdr:nvSpPr>
                  <xdr:spPr>
                    <a:xfrm>
                      <a:off x="16468022" y="12825132"/>
                      <a:ext cx="414619" cy="22972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pPr algn="r"/>
                      <a:r>
                        <a:rPr lang="en-US" sz="1100"/>
                        <a:t>12</a:t>
                      </a:r>
                      <a:endParaRPr lang="fa-IR" sz="1100"/>
                    </a:p>
                  </xdr:txBody>
                </xdr:sp>
              </xdr:grpSp>
              <xdr:grpSp>
                <xdr:nvGrpSpPr>
                  <xdr:cNvPr id="196" name="Group 73"/>
                  <xdr:cNvGrpSpPr/>
                </xdr:nvGrpSpPr>
                <xdr:grpSpPr>
                  <a:xfrm>
                    <a:off x="17114343" y="9593663"/>
                    <a:ext cx="979582" cy="768194"/>
                    <a:chOff x="16741588" y="12360088"/>
                    <a:chExt cx="980515" cy="787027"/>
                  </a:xfrm>
                </xdr:grpSpPr>
                <xdr:cxnSp macro="">
                  <xdr:nvCxnSpPr>
                    <xdr:cNvPr id="197" name="Straight Arrow Connector 196"/>
                    <xdr:cNvCxnSpPr/>
                  </xdr:nvCxnSpPr>
                  <xdr:spPr>
                    <a:xfrm>
                      <a:off x="17181819" y="12970809"/>
                      <a:ext cx="360589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98" name="Straight Arrow Connector 197"/>
                    <xdr:cNvCxnSpPr/>
                  </xdr:nvCxnSpPr>
                  <xdr:spPr>
                    <a:xfrm rot="5400000" flipH="1" flipV="1">
                      <a:off x="16997416" y="12792170"/>
                      <a:ext cx="368805" cy="1588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99" name="Arc 198"/>
                    <xdr:cNvSpPr/>
                  </xdr:nvSpPr>
                  <xdr:spPr>
                    <a:xfrm>
                      <a:off x="16973176" y="12807203"/>
                      <a:ext cx="419100" cy="339912"/>
                    </a:xfrm>
                    <a:prstGeom prst="arc">
                      <a:avLst>
                        <a:gd name="adj1" fmla="val 10541442"/>
                        <a:gd name="adj2" fmla="val 21385420"/>
                      </a:avLst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  <xdr:txBody>
                    <a:bodyPr rtlCol="1" anchor="ctr"/>
                    <a:lstStyle/>
                    <a:p>
                      <a:pPr algn="ctr"/>
                      <a:endParaRPr lang="fa-IR" sz="1100"/>
                    </a:p>
                  </xdr:txBody>
                </xdr:sp>
                <xdr:cxnSp macro="">
                  <xdr:nvCxnSpPr>
                    <xdr:cNvPr id="200" name="Straight Connector 199"/>
                    <xdr:cNvCxnSpPr/>
                  </xdr:nvCxnSpPr>
                  <xdr:spPr>
                    <a:xfrm rot="16200000" flipV="1">
                      <a:off x="16897723" y="12927106"/>
                      <a:ext cx="125506" cy="127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01" name="Straight Connector 200"/>
                    <xdr:cNvCxnSpPr/>
                  </xdr:nvCxnSpPr>
                  <xdr:spPr>
                    <a:xfrm rot="5400000" flipH="1" flipV="1">
                      <a:off x="16966826" y="12913659"/>
                      <a:ext cx="76200" cy="76200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02" name="TextBox 201"/>
                    <xdr:cNvSpPr txBox="1"/>
                  </xdr:nvSpPr>
                  <xdr:spPr>
                    <a:xfrm>
                      <a:off x="17066559" y="12360088"/>
                      <a:ext cx="201706" cy="184897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8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203" name="TextBox 202"/>
                    <xdr:cNvSpPr txBox="1"/>
                  </xdr:nvSpPr>
                  <xdr:spPr>
                    <a:xfrm>
                      <a:off x="17570823" y="12813926"/>
                      <a:ext cx="151280" cy="246529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ctr"/>
                    <a:lstStyle/>
                    <a:p>
                      <a:pPr algn="ctr"/>
                      <a:r>
                        <a:rPr lang="en-US" sz="1100"/>
                        <a:t>7</a:t>
                      </a:r>
                      <a:endParaRPr lang="fa-IR" sz="1100"/>
                    </a:p>
                  </xdr:txBody>
                </xdr:sp>
                <xdr:sp macro="" textlink="">
                  <xdr:nvSpPr>
                    <xdr:cNvPr id="204" name="TextBox 203"/>
                    <xdr:cNvSpPr txBox="1"/>
                  </xdr:nvSpPr>
                  <xdr:spPr>
                    <a:xfrm>
                      <a:off x="16741588" y="12825132"/>
                      <a:ext cx="184897" cy="22972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t"/>
                    <a:lstStyle/>
                    <a:p>
                      <a:r>
                        <a:rPr lang="en-US" sz="1100"/>
                        <a:t>9</a:t>
                      </a:r>
                      <a:endParaRPr lang="fa-IR" sz="1100"/>
                    </a:p>
                  </xdr:txBody>
                </xdr:sp>
              </xdr:grpSp>
            </xdr:grpSp>
            <xdr:grpSp>
              <xdr:nvGrpSpPr>
                <xdr:cNvPr id="177" name="Group 91"/>
                <xdr:cNvGrpSpPr/>
              </xdr:nvGrpSpPr>
              <xdr:grpSpPr>
                <a:xfrm>
                  <a:off x="18229792" y="13061186"/>
                  <a:ext cx="2808816" cy="181042"/>
                  <a:chOff x="18225336" y="13064289"/>
                  <a:chExt cx="2804360" cy="180474"/>
                </a:xfrm>
              </xdr:grpSpPr>
              <xdr:cxnSp macro="">
                <xdr:nvCxnSpPr>
                  <xdr:cNvPr id="188" name="Straight Arrow Connector 187"/>
                  <xdr:cNvCxnSpPr/>
                </xdr:nvCxnSpPr>
                <xdr:spPr>
                  <a:xfrm>
                    <a:off x="18225336" y="13160542"/>
                    <a:ext cx="2804360" cy="1588"/>
                  </a:xfrm>
                  <a:prstGeom prst="straightConnector1">
                    <a:avLst/>
                  </a:prstGeom>
                  <a:ln>
                    <a:headEnd type="arrow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9" name="Straight Connector 188"/>
                  <xdr:cNvCxnSpPr/>
                </xdr:nvCxnSpPr>
                <xdr:spPr>
                  <a:xfrm rot="5400000">
                    <a:off x="18155842" y="13161355"/>
                    <a:ext cx="144000" cy="158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0" name="Straight Connector 189"/>
                  <xdr:cNvCxnSpPr/>
                </xdr:nvCxnSpPr>
                <xdr:spPr>
                  <a:xfrm rot="5400000">
                    <a:off x="20948171" y="13161355"/>
                    <a:ext cx="144000" cy="158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91" name="TextBox 190"/>
                  <xdr:cNvSpPr txBox="1"/>
                </xdr:nvSpPr>
                <xdr:spPr>
                  <a:xfrm>
                    <a:off x="19265566" y="13064289"/>
                    <a:ext cx="571500" cy="180474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ctr"/>
                  <a:lstStyle/>
                  <a:p>
                    <a:pPr algn="ctr"/>
                    <a:r>
                      <a:rPr lang="en-US" sz="1100"/>
                      <a:t>L</a:t>
                    </a:r>
                    <a:endParaRPr lang="fa-IR" sz="1100"/>
                  </a:p>
                </xdr:txBody>
              </xdr:sp>
            </xdr:grpSp>
            <xdr:grpSp>
              <xdr:nvGrpSpPr>
                <xdr:cNvPr id="178" name="Group 100"/>
                <xdr:cNvGrpSpPr/>
              </xdr:nvGrpSpPr>
              <xdr:grpSpPr>
                <a:xfrm>
                  <a:off x="16973177" y="10025062"/>
                  <a:ext cx="380999" cy="2903274"/>
                  <a:chOff x="16960103" y="10023194"/>
                  <a:chExt cx="380999" cy="2900784"/>
                </a:xfrm>
              </xdr:grpSpPr>
              <xdr:cxnSp macro="">
                <xdr:nvCxnSpPr>
                  <xdr:cNvPr id="184" name="Straight Arrow Connector 183"/>
                  <xdr:cNvCxnSpPr/>
                </xdr:nvCxnSpPr>
                <xdr:spPr>
                  <a:xfrm rot="5400000" flipH="1" flipV="1">
                    <a:off x="15638276" y="11477158"/>
                    <a:ext cx="2892052" cy="1588"/>
                  </a:xfrm>
                  <a:prstGeom prst="straightConnector1">
                    <a:avLst/>
                  </a:prstGeom>
                  <a:ln>
                    <a:headEnd type="arrow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5" name="Straight Connector 184"/>
                  <xdr:cNvCxnSpPr/>
                </xdr:nvCxnSpPr>
                <xdr:spPr>
                  <a:xfrm>
                    <a:off x="17012865" y="10023194"/>
                    <a:ext cx="144000" cy="158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6" name="Straight Connector 185"/>
                  <xdr:cNvCxnSpPr/>
                </xdr:nvCxnSpPr>
                <xdr:spPr>
                  <a:xfrm>
                    <a:off x="17016132" y="12914779"/>
                    <a:ext cx="144000" cy="158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87" name="TextBox 186"/>
                  <xdr:cNvSpPr txBox="1"/>
                </xdr:nvSpPr>
                <xdr:spPr>
                  <a:xfrm>
                    <a:off x="16960103" y="11155456"/>
                    <a:ext cx="380999" cy="633132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ctr"/>
                  <a:lstStyle/>
                  <a:p>
                    <a:pPr algn="ctr"/>
                    <a:r>
                      <a:rPr lang="en-US" sz="1100"/>
                      <a:t>h1</a:t>
                    </a:r>
                    <a:endParaRPr lang="fa-IR" sz="1100"/>
                  </a:p>
                </xdr:txBody>
              </xdr:sp>
            </xdr:grpSp>
            <xdr:grpSp>
              <xdr:nvGrpSpPr>
                <xdr:cNvPr id="179" name="Group 106"/>
                <xdr:cNvGrpSpPr/>
              </xdr:nvGrpSpPr>
              <xdr:grpSpPr>
                <a:xfrm>
                  <a:off x="22105294" y="10762005"/>
                  <a:ext cx="385317" cy="2178704"/>
                  <a:chOff x="16960103" y="10023194"/>
                  <a:chExt cx="380999" cy="2900784"/>
                </a:xfrm>
              </xdr:grpSpPr>
              <xdr:cxnSp macro="">
                <xdr:nvCxnSpPr>
                  <xdr:cNvPr id="180" name="Straight Arrow Connector 179"/>
                  <xdr:cNvCxnSpPr/>
                </xdr:nvCxnSpPr>
                <xdr:spPr>
                  <a:xfrm rot="5400000" flipH="1" flipV="1">
                    <a:off x="15638276" y="11477158"/>
                    <a:ext cx="2892052" cy="1588"/>
                  </a:xfrm>
                  <a:prstGeom prst="straightConnector1">
                    <a:avLst/>
                  </a:prstGeom>
                  <a:ln>
                    <a:headEnd type="arrow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1" name="Straight Connector 180"/>
                  <xdr:cNvCxnSpPr/>
                </xdr:nvCxnSpPr>
                <xdr:spPr>
                  <a:xfrm>
                    <a:off x="17012865" y="10023194"/>
                    <a:ext cx="144000" cy="158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2" name="Straight Connector 181"/>
                  <xdr:cNvCxnSpPr/>
                </xdr:nvCxnSpPr>
                <xdr:spPr>
                  <a:xfrm>
                    <a:off x="17016132" y="12914779"/>
                    <a:ext cx="144000" cy="1588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83" name="TextBox 182"/>
                  <xdr:cNvSpPr txBox="1"/>
                </xdr:nvSpPr>
                <xdr:spPr>
                  <a:xfrm>
                    <a:off x="16960103" y="11155456"/>
                    <a:ext cx="380999" cy="633132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ctr"/>
                  <a:lstStyle/>
                  <a:p>
                    <a:pPr algn="ctr"/>
                    <a:r>
                      <a:rPr lang="en-US" sz="1100"/>
                      <a:t>h2</a:t>
                    </a:r>
                    <a:endParaRPr lang="fa-IR" sz="1100"/>
                  </a:p>
                </xdr:txBody>
              </xdr:sp>
            </xdr:grpSp>
          </xdr:grpSp>
          <xdr:sp macro="" textlink="">
            <xdr:nvSpPr>
              <xdr:cNvPr id="294" name="Oval 293"/>
              <xdr:cNvSpPr/>
            </xdr:nvSpPr>
            <xdr:spPr>
              <a:xfrm>
                <a:off x="20991938" y="35409329"/>
                <a:ext cx="109732" cy="112041"/>
              </a:xfrm>
              <a:prstGeom prst="ellips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tlCol="1" anchor="ctr"/>
              <a:lstStyle/>
              <a:p>
                <a:pPr algn="ctr"/>
                <a:endParaRPr lang="fa-IR" sz="1100"/>
              </a:p>
            </xdr:txBody>
          </xdr:sp>
        </xdr:grpSp>
        <xdr:sp macro="" textlink="">
          <xdr:nvSpPr>
            <xdr:cNvPr id="299" name="Oval 298"/>
            <xdr:cNvSpPr/>
          </xdr:nvSpPr>
          <xdr:spPr>
            <a:xfrm>
              <a:off x="18226311" y="35415772"/>
              <a:ext cx="106639" cy="113896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  <xdr:sp macro="" textlink="">
          <xdr:nvSpPr>
            <xdr:cNvPr id="304" name="Oval 303"/>
            <xdr:cNvSpPr/>
          </xdr:nvSpPr>
          <xdr:spPr>
            <a:xfrm>
              <a:off x="20986750" y="33356550"/>
              <a:ext cx="108000" cy="10800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</xdr:grpSp>
      <xdr:grpSp>
        <xdr:nvGrpSpPr>
          <xdr:cNvPr id="323" name="Group 322"/>
          <xdr:cNvGrpSpPr/>
        </xdr:nvGrpSpPr>
        <xdr:grpSpPr>
          <a:xfrm>
            <a:off x="20591335" y="32850914"/>
            <a:ext cx="558903" cy="310651"/>
            <a:chOff x="20441476" y="21228659"/>
            <a:chExt cx="561889" cy="309341"/>
          </a:xfrm>
        </xdr:grpSpPr>
        <xdr:sp macro="" textlink="">
          <xdr:nvSpPr>
            <xdr:cNvPr id="324" name="Arc 323"/>
            <xdr:cNvSpPr/>
          </xdr:nvSpPr>
          <xdr:spPr>
            <a:xfrm>
              <a:off x="20622365" y="21228659"/>
              <a:ext cx="381000" cy="309341"/>
            </a:xfrm>
            <a:prstGeom prst="arc">
              <a:avLst>
                <a:gd name="adj1" fmla="val 11080648"/>
                <a:gd name="adj2" fmla="val 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  <xdr:cxnSp macro="">
          <xdr:nvCxnSpPr>
            <xdr:cNvPr id="325" name="Straight Connector 324"/>
            <xdr:cNvCxnSpPr/>
          </xdr:nvCxnSpPr>
          <xdr:spPr>
            <a:xfrm rot="5400000" flipH="1" flipV="1">
              <a:off x="20560730" y="21312704"/>
              <a:ext cx="112059" cy="158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6" name="Straight Connector 325"/>
            <xdr:cNvCxnSpPr/>
          </xdr:nvCxnSpPr>
          <xdr:spPr>
            <a:xfrm flipV="1">
              <a:off x="20622362" y="21318306"/>
              <a:ext cx="61632" cy="5042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27" name="TextBox 326"/>
            <xdr:cNvSpPr txBox="1"/>
          </xdr:nvSpPr>
          <xdr:spPr>
            <a:xfrm>
              <a:off x="20441476" y="21434492"/>
              <a:ext cx="372868" cy="9766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1" anchor="ctr"/>
            <a:lstStyle/>
            <a:p>
              <a:r>
                <a:rPr lang="en-US" sz="1100"/>
                <a:t>13</a:t>
              </a:r>
              <a:endParaRPr lang="fa-IR" sz="1100"/>
            </a:p>
          </xdr:txBody>
        </xdr:sp>
      </xdr:grpSp>
      <xdr:sp macro="" textlink="">
        <xdr:nvSpPr>
          <xdr:cNvPr id="320" name="Rectangle 319"/>
          <xdr:cNvSpPr/>
        </xdr:nvSpPr>
        <xdr:spPr>
          <a:xfrm>
            <a:off x="18398403" y="34911290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1</a:t>
            </a:r>
            <a:endParaRPr lang="fa-IR" sz="1100"/>
          </a:p>
        </xdr:txBody>
      </xdr:sp>
      <xdr:sp macro="" textlink="">
        <xdr:nvSpPr>
          <xdr:cNvPr id="328" name="Rectangle 327"/>
          <xdr:cNvSpPr/>
        </xdr:nvSpPr>
        <xdr:spPr>
          <a:xfrm>
            <a:off x="18363767" y="32530040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2</a:t>
            </a:r>
            <a:endParaRPr lang="fa-IR" sz="1100"/>
          </a:p>
        </xdr:txBody>
      </xdr:sp>
      <xdr:sp macro="" textlink="">
        <xdr:nvSpPr>
          <xdr:cNvPr id="329" name="Rectangle 328"/>
          <xdr:cNvSpPr/>
        </xdr:nvSpPr>
        <xdr:spPr>
          <a:xfrm>
            <a:off x="20563176" y="33274722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3</a:t>
            </a:r>
            <a:endParaRPr lang="fa-IR" sz="1100"/>
          </a:p>
        </xdr:txBody>
      </xdr:sp>
      <xdr:sp macro="" textlink="">
        <xdr:nvSpPr>
          <xdr:cNvPr id="330" name="Rectangle 329"/>
          <xdr:cNvSpPr/>
        </xdr:nvSpPr>
        <xdr:spPr>
          <a:xfrm>
            <a:off x="20563176" y="34954586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4</a:t>
            </a:r>
            <a:endParaRPr lang="fa-IR" sz="1100"/>
          </a:p>
        </xdr:txBody>
      </xdr:sp>
    </xdr:grpSp>
    <xdr:clientData/>
  </xdr:twoCellAnchor>
  <xdr:twoCellAnchor>
    <xdr:from>
      <xdr:col>22</xdr:col>
      <xdr:colOff>23812</xdr:colOff>
      <xdr:row>229</xdr:row>
      <xdr:rowOff>23813</xdr:rowOff>
    </xdr:from>
    <xdr:to>
      <xdr:col>31</xdr:col>
      <xdr:colOff>23814</xdr:colOff>
      <xdr:row>250</xdr:row>
      <xdr:rowOff>702</xdr:rowOff>
    </xdr:to>
    <xdr:grpSp>
      <xdr:nvGrpSpPr>
        <xdr:cNvPr id="413" name="Group 412"/>
        <xdr:cNvGrpSpPr/>
      </xdr:nvGrpSpPr>
      <xdr:grpSpPr>
        <a:xfrm>
          <a:off x="15319841" y="44623225"/>
          <a:ext cx="5446061" cy="4123065"/>
          <a:chOff x="16952335" y="43180722"/>
          <a:chExt cx="6156615" cy="4003366"/>
        </a:xfrm>
      </xdr:grpSpPr>
      <xdr:grpSp>
        <xdr:nvGrpSpPr>
          <xdr:cNvPr id="312" name="Group 311"/>
          <xdr:cNvGrpSpPr/>
        </xdr:nvGrpSpPr>
        <xdr:grpSpPr>
          <a:xfrm>
            <a:off x="16952335" y="43180722"/>
            <a:ext cx="6156615" cy="4003366"/>
            <a:chOff x="16936640" y="43005376"/>
            <a:chExt cx="6161487" cy="4013107"/>
          </a:xfrm>
        </xdr:grpSpPr>
        <xdr:grpSp>
          <xdr:nvGrpSpPr>
            <xdr:cNvPr id="310" name="Group 309"/>
            <xdr:cNvGrpSpPr/>
          </xdr:nvGrpSpPr>
          <xdr:grpSpPr>
            <a:xfrm>
              <a:off x="16936640" y="43005376"/>
              <a:ext cx="6161487" cy="4013107"/>
              <a:chOff x="16965612" y="43667363"/>
              <a:chExt cx="6172202" cy="4059939"/>
            </a:xfrm>
          </xdr:grpSpPr>
          <xdr:grpSp>
            <xdr:nvGrpSpPr>
              <xdr:cNvPr id="308" name="Group 307"/>
              <xdr:cNvGrpSpPr/>
            </xdr:nvGrpSpPr>
            <xdr:grpSpPr>
              <a:xfrm>
                <a:off x="16965612" y="43667363"/>
                <a:ext cx="6172202" cy="4059939"/>
                <a:chOff x="16965612" y="43667363"/>
                <a:chExt cx="6172202" cy="4059939"/>
              </a:xfrm>
            </xdr:grpSpPr>
            <xdr:grpSp>
              <xdr:nvGrpSpPr>
                <xdr:cNvPr id="234" name="Group 233"/>
                <xdr:cNvGrpSpPr/>
              </xdr:nvGrpSpPr>
              <xdr:grpSpPr>
                <a:xfrm>
                  <a:off x="16965612" y="43667363"/>
                  <a:ext cx="6172202" cy="4059939"/>
                  <a:chOff x="16917458" y="9537529"/>
                  <a:chExt cx="6191251" cy="3945639"/>
                </a:xfrm>
              </xdr:grpSpPr>
              <xdr:sp macro="" textlink="">
                <xdr:nvSpPr>
                  <xdr:cNvPr id="235" name="Rectangle 234"/>
                  <xdr:cNvSpPr/>
                </xdr:nvSpPr>
                <xdr:spPr>
                  <a:xfrm>
                    <a:off x="16917458" y="9537529"/>
                    <a:ext cx="6191251" cy="3945639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rtlCol="1" anchor="ctr"/>
                  <a:lstStyle/>
                  <a:p>
                    <a:pPr algn="ctr"/>
                    <a:endParaRPr lang="fa-IR" sz="1100"/>
                  </a:p>
                </xdr:txBody>
              </xdr:sp>
              <xdr:grpSp>
                <xdr:nvGrpSpPr>
                  <xdr:cNvPr id="236" name="Group 83"/>
                  <xdr:cNvGrpSpPr/>
                </xdr:nvGrpSpPr>
                <xdr:grpSpPr>
                  <a:xfrm>
                    <a:off x="17130219" y="9598942"/>
                    <a:ext cx="5441542" cy="3491057"/>
                    <a:chOff x="17114343" y="9593663"/>
                    <a:chExt cx="5399209" cy="3464558"/>
                  </a:xfrm>
                </xdr:grpSpPr>
                <xdr:grpSp>
                  <xdr:nvGrpSpPr>
                    <xdr:cNvPr id="252" name="Group 251"/>
                    <xdr:cNvGrpSpPr/>
                  </xdr:nvGrpSpPr>
                  <xdr:grpSpPr>
                    <a:xfrm>
                      <a:off x="18125679" y="10093325"/>
                      <a:ext cx="2933515" cy="2802164"/>
                      <a:chOff x="18145131" y="10116004"/>
                      <a:chExt cx="2955852" cy="2819173"/>
                    </a:xfrm>
                  </xdr:grpSpPr>
                  <xdr:cxnSp macro="">
                    <xdr:nvCxnSpPr>
                      <xdr:cNvPr id="289" name="Straight Connector 4"/>
                      <xdr:cNvCxnSpPr/>
                    </xdr:nvCxnSpPr>
                    <xdr:spPr>
                      <a:xfrm rot="5400000" flipH="1" flipV="1">
                        <a:off x="16822682" y="11522699"/>
                        <a:ext cx="2814978" cy="1588"/>
                      </a:xfrm>
                      <a:prstGeom prst="line">
                        <a:avLst/>
                      </a:prstGeom>
                      <a:effectLst/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90" name="Straight Connector 6"/>
                      <xdr:cNvCxnSpPr/>
                    </xdr:nvCxnSpPr>
                    <xdr:spPr>
                      <a:xfrm>
                        <a:off x="18225408" y="10117592"/>
                        <a:ext cx="2777218" cy="681378"/>
                      </a:xfrm>
                      <a:prstGeom prst="line">
                        <a:avLst/>
                      </a:prstGeom>
                      <a:effectLst/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91" name="Straight Connector 8"/>
                      <xdr:cNvCxnSpPr/>
                    </xdr:nvCxnSpPr>
                    <xdr:spPr>
                      <a:xfrm rot="5400000">
                        <a:off x="19941403" y="11860235"/>
                        <a:ext cx="2122490" cy="1547"/>
                      </a:xfrm>
                      <a:prstGeom prst="line">
                        <a:avLst/>
                      </a:prstGeom>
                      <a:effectLst/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92" name="Straight Connector 291"/>
                      <xdr:cNvCxnSpPr/>
                    </xdr:nvCxnSpPr>
                    <xdr:spPr>
                      <a:xfrm>
                        <a:off x="18145131" y="12933589"/>
                        <a:ext cx="180000" cy="1588"/>
                      </a:xfrm>
                      <a:prstGeom prst="line">
                        <a:avLst/>
                      </a:prstGeom>
                      <a:effectLst/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93" name="Straight Connector 292"/>
                      <xdr:cNvCxnSpPr/>
                    </xdr:nvCxnSpPr>
                    <xdr:spPr>
                      <a:xfrm>
                        <a:off x="20920983" y="12923376"/>
                        <a:ext cx="180000" cy="1588"/>
                      </a:xfrm>
                      <a:prstGeom prst="line">
                        <a:avLst/>
                      </a:prstGeom>
                      <a:effectLst/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grpSp>
                  <xdr:nvGrpSpPr>
                    <xdr:cNvPr id="253" name="Group 52"/>
                    <xdr:cNvGrpSpPr/>
                  </xdr:nvGrpSpPr>
                  <xdr:grpSpPr>
                    <a:xfrm>
                      <a:off x="17136578" y="12252361"/>
                      <a:ext cx="978647" cy="805860"/>
                      <a:chOff x="16741588" y="12360088"/>
                      <a:chExt cx="980515" cy="787027"/>
                    </a:xfrm>
                  </xdr:grpSpPr>
                  <xdr:cxnSp macro="">
                    <xdr:nvCxnSpPr>
                      <xdr:cNvPr id="281" name="Straight Arrow Connector 21"/>
                      <xdr:cNvCxnSpPr/>
                    </xdr:nvCxnSpPr>
                    <xdr:spPr>
                      <a:xfrm>
                        <a:off x="17181819" y="12970809"/>
                        <a:ext cx="360589" cy="1588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82" name="Straight Arrow Connector 23"/>
                      <xdr:cNvCxnSpPr/>
                    </xdr:nvCxnSpPr>
                    <xdr:spPr>
                      <a:xfrm rot="5400000" flipH="1" flipV="1">
                        <a:off x="16997416" y="12792170"/>
                        <a:ext cx="368805" cy="1588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83" name="Arc 282"/>
                      <xdr:cNvSpPr/>
                    </xdr:nvSpPr>
                    <xdr:spPr>
                      <a:xfrm>
                        <a:off x="16973176" y="12807203"/>
                        <a:ext cx="419100" cy="339912"/>
                      </a:xfrm>
                      <a:prstGeom prst="arc">
                        <a:avLst>
                          <a:gd name="adj1" fmla="val 10541442"/>
                          <a:gd name="adj2" fmla="val 21385420"/>
                        </a:avLst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  <xdr:txBody>
                      <a:bodyPr rtlCol="1" anchor="ctr"/>
                      <a:lstStyle/>
                      <a:p>
                        <a:pPr algn="ctr"/>
                        <a:endParaRPr lang="fa-IR" sz="1100"/>
                      </a:p>
                    </xdr:txBody>
                  </xdr:sp>
                  <xdr:cxnSp macro="">
                    <xdr:nvCxnSpPr>
                      <xdr:cNvPr id="284" name="Straight Connector 283"/>
                      <xdr:cNvCxnSpPr/>
                    </xdr:nvCxnSpPr>
                    <xdr:spPr>
                      <a:xfrm rot="16200000" flipV="1">
                        <a:off x="16897723" y="12927106"/>
                        <a:ext cx="125506" cy="12700"/>
                      </a:xfrm>
                      <a:prstGeom prst="line">
                        <a:avLst/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85" name="Straight Connector 284"/>
                      <xdr:cNvCxnSpPr/>
                    </xdr:nvCxnSpPr>
                    <xdr:spPr>
                      <a:xfrm rot="5400000" flipH="1" flipV="1">
                        <a:off x="16966826" y="12913659"/>
                        <a:ext cx="76200" cy="76200"/>
                      </a:xfrm>
                      <a:prstGeom prst="line">
                        <a:avLst/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86" name="TextBox 285"/>
                      <xdr:cNvSpPr txBox="1"/>
                    </xdr:nvSpPr>
                    <xdr:spPr>
                      <a:xfrm>
                        <a:off x="17066559" y="12360088"/>
                        <a:ext cx="201706" cy="184897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1" anchor="t"/>
                      <a:lstStyle/>
                      <a:p>
                        <a:r>
                          <a:rPr lang="en-US" sz="1100"/>
                          <a:t>2</a:t>
                        </a:r>
                        <a:endParaRPr lang="fa-IR" sz="1100"/>
                      </a:p>
                    </xdr:txBody>
                  </xdr:sp>
                  <xdr:sp macro="" textlink="">
                    <xdr:nvSpPr>
                      <xdr:cNvPr id="287" name="TextBox 286"/>
                      <xdr:cNvSpPr txBox="1"/>
                    </xdr:nvSpPr>
                    <xdr:spPr>
                      <a:xfrm>
                        <a:off x="17570823" y="12813926"/>
                        <a:ext cx="151280" cy="246529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1" anchor="ctr"/>
                      <a:lstStyle/>
                      <a:p>
                        <a:pPr algn="ctr"/>
                        <a:r>
                          <a:rPr lang="en-US" sz="1100"/>
                          <a:t>1</a:t>
                        </a:r>
                        <a:endParaRPr lang="fa-IR" sz="1100"/>
                      </a:p>
                    </xdr:txBody>
                  </xdr:sp>
                  <xdr:sp macro="" textlink="">
                    <xdr:nvSpPr>
                      <xdr:cNvPr id="288" name="TextBox 287"/>
                      <xdr:cNvSpPr txBox="1"/>
                    </xdr:nvSpPr>
                    <xdr:spPr>
                      <a:xfrm>
                        <a:off x="16741588" y="12825132"/>
                        <a:ext cx="184897" cy="22972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1" anchor="t"/>
                      <a:lstStyle/>
                      <a:p>
                        <a:r>
                          <a:rPr lang="en-US" sz="1100"/>
                          <a:t>3</a:t>
                        </a:r>
                        <a:endParaRPr lang="fa-IR" sz="1100"/>
                      </a:p>
                    </xdr:txBody>
                  </xdr:sp>
                </xdr:grpSp>
                <xdr:grpSp>
                  <xdr:nvGrpSpPr>
                    <xdr:cNvPr id="254" name="Group 54"/>
                    <xdr:cNvGrpSpPr/>
                  </xdr:nvGrpSpPr>
                  <xdr:grpSpPr>
                    <a:xfrm>
                      <a:off x="21067778" y="12205437"/>
                      <a:ext cx="979582" cy="805860"/>
                      <a:chOff x="16741588" y="12360088"/>
                      <a:chExt cx="980515" cy="787027"/>
                    </a:xfrm>
                  </xdr:grpSpPr>
                  <xdr:cxnSp macro="">
                    <xdr:nvCxnSpPr>
                      <xdr:cNvPr id="273" name="Straight Arrow Connector 272"/>
                      <xdr:cNvCxnSpPr/>
                    </xdr:nvCxnSpPr>
                    <xdr:spPr>
                      <a:xfrm>
                        <a:off x="17181819" y="12970809"/>
                        <a:ext cx="360589" cy="1588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74" name="Straight Arrow Connector 273"/>
                      <xdr:cNvCxnSpPr/>
                    </xdr:nvCxnSpPr>
                    <xdr:spPr>
                      <a:xfrm rot="5400000" flipH="1" flipV="1">
                        <a:off x="16997416" y="12792170"/>
                        <a:ext cx="368805" cy="1588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5" name="Arc 274"/>
                      <xdr:cNvSpPr/>
                    </xdr:nvSpPr>
                    <xdr:spPr>
                      <a:xfrm>
                        <a:off x="16973176" y="12807203"/>
                        <a:ext cx="419100" cy="339912"/>
                      </a:xfrm>
                      <a:prstGeom prst="arc">
                        <a:avLst>
                          <a:gd name="adj1" fmla="val 10541442"/>
                          <a:gd name="adj2" fmla="val 21385420"/>
                        </a:avLst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  <xdr:txBody>
                      <a:bodyPr rtlCol="1" anchor="ctr"/>
                      <a:lstStyle/>
                      <a:p>
                        <a:pPr algn="ctr"/>
                        <a:endParaRPr lang="fa-IR" sz="1100"/>
                      </a:p>
                    </xdr:txBody>
                  </xdr:sp>
                  <xdr:cxnSp macro="">
                    <xdr:nvCxnSpPr>
                      <xdr:cNvPr id="276" name="Straight Connector 275"/>
                      <xdr:cNvCxnSpPr/>
                    </xdr:nvCxnSpPr>
                    <xdr:spPr>
                      <a:xfrm rot="16200000" flipV="1">
                        <a:off x="16897723" y="12927106"/>
                        <a:ext cx="125506" cy="12700"/>
                      </a:xfrm>
                      <a:prstGeom prst="line">
                        <a:avLst/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77" name="Straight Connector 276"/>
                      <xdr:cNvCxnSpPr/>
                    </xdr:nvCxnSpPr>
                    <xdr:spPr>
                      <a:xfrm rot="5400000" flipH="1" flipV="1">
                        <a:off x="16966826" y="12913659"/>
                        <a:ext cx="76200" cy="76200"/>
                      </a:xfrm>
                      <a:prstGeom prst="line">
                        <a:avLst/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8" name="TextBox 277"/>
                      <xdr:cNvSpPr txBox="1"/>
                    </xdr:nvSpPr>
                    <xdr:spPr>
                      <a:xfrm>
                        <a:off x="17066559" y="12360088"/>
                        <a:ext cx="201706" cy="184897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1" anchor="t"/>
                      <a:lstStyle/>
                      <a:p>
                        <a:r>
                          <a:rPr lang="en-US" sz="1100"/>
                          <a:t>5</a:t>
                        </a:r>
                        <a:endParaRPr lang="fa-IR" sz="1100"/>
                      </a:p>
                    </xdr:txBody>
                  </xdr:sp>
                  <xdr:sp macro="" textlink="">
                    <xdr:nvSpPr>
                      <xdr:cNvPr id="279" name="TextBox 278"/>
                      <xdr:cNvSpPr txBox="1"/>
                    </xdr:nvSpPr>
                    <xdr:spPr>
                      <a:xfrm>
                        <a:off x="17570823" y="12813926"/>
                        <a:ext cx="151280" cy="246529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1" anchor="ctr"/>
                      <a:lstStyle/>
                      <a:p>
                        <a:pPr algn="ctr"/>
                        <a:r>
                          <a:rPr lang="en-US" sz="1100"/>
                          <a:t>4</a:t>
                        </a:r>
                        <a:endParaRPr lang="fa-IR" sz="1100"/>
                      </a:p>
                    </xdr:txBody>
                  </xdr:sp>
                  <xdr:sp macro="" textlink="">
                    <xdr:nvSpPr>
                      <xdr:cNvPr id="280" name="TextBox 279"/>
                      <xdr:cNvSpPr txBox="1"/>
                    </xdr:nvSpPr>
                    <xdr:spPr>
                      <a:xfrm>
                        <a:off x="16741588" y="12825132"/>
                        <a:ext cx="184897" cy="22972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1" anchor="t"/>
                      <a:lstStyle/>
                      <a:p>
                        <a:r>
                          <a:rPr lang="en-US" sz="1100"/>
                          <a:t>6</a:t>
                        </a:r>
                        <a:endParaRPr lang="fa-IR" sz="1100"/>
                      </a:p>
                    </xdr:txBody>
                  </xdr:sp>
                </xdr:grpSp>
                <xdr:grpSp>
                  <xdr:nvGrpSpPr>
                    <xdr:cNvPr id="255" name="Group 64"/>
                    <xdr:cNvGrpSpPr/>
                  </xdr:nvGrpSpPr>
                  <xdr:grpSpPr>
                    <a:xfrm>
                      <a:off x="20991419" y="10148937"/>
                      <a:ext cx="1522133" cy="773150"/>
                      <a:chOff x="16468022" y="12360088"/>
                      <a:chExt cx="1524001" cy="787027"/>
                    </a:xfrm>
                  </xdr:grpSpPr>
                  <xdr:cxnSp macro="">
                    <xdr:nvCxnSpPr>
                      <xdr:cNvPr id="265" name="Straight Arrow Connector 264"/>
                      <xdr:cNvCxnSpPr/>
                    </xdr:nvCxnSpPr>
                    <xdr:spPr>
                      <a:xfrm>
                        <a:off x="17181819" y="12970809"/>
                        <a:ext cx="360589" cy="1588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66" name="Straight Arrow Connector 265"/>
                      <xdr:cNvCxnSpPr/>
                    </xdr:nvCxnSpPr>
                    <xdr:spPr>
                      <a:xfrm rot="5400000" flipH="1" flipV="1">
                        <a:off x="16997416" y="12792170"/>
                        <a:ext cx="368805" cy="1588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67" name="Arc 266"/>
                      <xdr:cNvSpPr/>
                    </xdr:nvSpPr>
                    <xdr:spPr>
                      <a:xfrm>
                        <a:off x="16973176" y="12807203"/>
                        <a:ext cx="419100" cy="339912"/>
                      </a:xfrm>
                      <a:prstGeom prst="arc">
                        <a:avLst>
                          <a:gd name="adj1" fmla="val 10541442"/>
                          <a:gd name="adj2" fmla="val 21385420"/>
                        </a:avLst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  <xdr:txBody>
                      <a:bodyPr rtlCol="1" anchor="ctr"/>
                      <a:lstStyle/>
                      <a:p>
                        <a:pPr algn="ctr"/>
                        <a:endParaRPr lang="fa-IR" sz="1100"/>
                      </a:p>
                    </xdr:txBody>
                  </xdr:sp>
                  <xdr:cxnSp macro="">
                    <xdr:nvCxnSpPr>
                      <xdr:cNvPr id="268" name="Straight Connector 267"/>
                      <xdr:cNvCxnSpPr/>
                    </xdr:nvCxnSpPr>
                    <xdr:spPr>
                      <a:xfrm rot="16200000" flipV="1">
                        <a:off x="16897723" y="12927106"/>
                        <a:ext cx="125506" cy="12700"/>
                      </a:xfrm>
                      <a:prstGeom prst="line">
                        <a:avLst/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69" name="Straight Connector 268"/>
                      <xdr:cNvCxnSpPr/>
                    </xdr:nvCxnSpPr>
                    <xdr:spPr>
                      <a:xfrm rot="5400000" flipH="1" flipV="1">
                        <a:off x="16966826" y="12913659"/>
                        <a:ext cx="76200" cy="76200"/>
                      </a:xfrm>
                      <a:prstGeom prst="line">
                        <a:avLst/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0" name="TextBox 269"/>
                      <xdr:cNvSpPr txBox="1"/>
                    </xdr:nvSpPr>
                    <xdr:spPr>
                      <a:xfrm>
                        <a:off x="17066558" y="12360088"/>
                        <a:ext cx="404391" cy="184897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1" anchor="t"/>
                      <a:lstStyle/>
                      <a:p>
                        <a:r>
                          <a:rPr lang="en-US" sz="1100"/>
                          <a:t>11</a:t>
                        </a:r>
                        <a:endParaRPr lang="fa-IR" sz="1100"/>
                      </a:p>
                    </xdr:txBody>
                  </xdr:sp>
                  <xdr:sp macro="" textlink="">
                    <xdr:nvSpPr>
                      <xdr:cNvPr id="271" name="TextBox 270"/>
                      <xdr:cNvSpPr txBox="1"/>
                    </xdr:nvSpPr>
                    <xdr:spPr>
                      <a:xfrm>
                        <a:off x="17654867" y="12819529"/>
                        <a:ext cx="337156" cy="246529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1" anchor="ctr"/>
                      <a:lstStyle/>
                      <a:p>
                        <a:pPr algn="ctr"/>
                        <a:r>
                          <a:rPr lang="en-US" sz="1100"/>
                          <a:t>10</a:t>
                        </a:r>
                        <a:endParaRPr lang="fa-IR" sz="1100"/>
                      </a:p>
                    </xdr:txBody>
                  </xdr:sp>
                  <xdr:sp macro="" textlink="">
                    <xdr:nvSpPr>
                      <xdr:cNvPr id="272" name="TextBox 271"/>
                      <xdr:cNvSpPr txBox="1"/>
                    </xdr:nvSpPr>
                    <xdr:spPr>
                      <a:xfrm>
                        <a:off x="16468022" y="12825132"/>
                        <a:ext cx="414619" cy="22972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1" anchor="t"/>
                      <a:lstStyle/>
                      <a:p>
                        <a:pPr algn="r"/>
                        <a:r>
                          <a:rPr lang="en-US" sz="1100"/>
                          <a:t>12</a:t>
                        </a:r>
                        <a:endParaRPr lang="fa-IR" sz="1100"/>
                      </a:p>
                    </xdr:txBody>
                  </xdr:sp>
                </xdr:grpSp>
                <xdr:grpSp>
                  <xdr:nvGrpSpPr>
                    <xdr:cNvPr id="256" name="Group 73"/>
                    <xdr:cNvGrpSpPr/>
                  </xdr:nvGrpSpPr>
                  <xdr:grpSpPr>
                    <a:xfrm>
                      <a:off x="17114343" y="9593663"/>
                      <a:ext cx="979582" cy="768194"/>
                      <a:chOff x="16741588" y="12360088"/>
                      <a:chExt cx="980515" cy="787027"/>
                    </a:xfrm>
                  </xdr:grpSpPr>
                  <xdr:cxnSp macro="">
                    <xdr:nvCxnSpPr>
                      <xdr:cNvPr id="257" name="Straight Arrow Connector 256"/>
                      <xdr:cNvCxnSpPr/>
                    </xdr:nvCxnSpPr>
                    <xdr:spPr>
                      <a:xfrm>
                        <a:off x="17181819" y="12970809"/>
                        <a:ext cx="360589" cy="1588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58" name="Straight Arrow Connector 257"/>
                      <xdr:cNvCxnSpPr/>
                    </xdr:nvCxnSpPr>
                    <xdr:spPr>
                      <a:xfrm rot="5400000" flipH="1" flipV="1">
                        <a:off x="16997416" y="12792170"/>
                        <a:ext cx="368805" cy="1588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59" name="Arc 258"/>
                      <xdr:cNvSpPr/>
                    </xdr:nvSpPr>
                    <xdr:spPr>
                      <a:xfrm>
                        <a:off x="16973176" y="12807203"/>
                        <a:ext cx="419100" cy="339912"/>
                      </a:xfrm>
                      <a:prstGeom prst="arc">
                        <a:avLst>
                          <a:gd name="adj1" fmla="val 10541442"/>
                          <a:gd name="adj2" fmla="val 21385420"/>
                        </a:avLst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  <xdr:txBody>
                      <a:bodyPr rtlCol="1" anchor="ctr"/>
                      <a:lstStyle/>
                      <a:p>
                        <a:pPr algn="ctr"/>
                        <a:endParaRPr lang="fa-IR" sz="1100"/>
                      </a:p>
                    </xdr:txBody>
                  </xdr:sp>
                  <xdr:cxnSp macro="">
                    <xdr:nvCxnSpPr>
                      <xdr:cNvPr id="260" name="Straight Connector 259"/>
                      <xdr:cNvCxnSpPr/>
                    </xdr:nvCxnSpPr>
                    <xdr:spPr>
                      <a:xfrm rot="16200000" flipV="1">
                        <a:off x="16897723" y="12927106"/>
                        <a:ext cx="125506" cy="12700"/>
                      </a:xfrm>
                      <a:prstGeom prst="line">
                        <a:avLst/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61" name="Straight Connector 260"/>
                      <xdr:cNvCxnSpPr/>
                    </xdr:nvCxnSpPr>
                    <xdr:spPr>
                      <a:xfrm rot="5400000" flipH="1" flipV="1">
                        <a:off x="16966826" y="12913659"/>
                        <a:ext cx="76200" cy="76200"/>
                      </a:xfrm>
                      <a:prstGeom prst="line">
                        <a:avLst/>
                      </a:prstGeom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62" name="TextBox 261"/>
                      <xdr:cNvSpPr txBox="1"/>
                    </xdr:nvSpPr>
                    <xdr:spPr>
                      <a:xfrm>
                        <a:off x="17066559" y="12360088"/>
                        <a:ext cx="201706" cy="184897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1" anchor="t"/>
                      <a:lstStyle/>
                      <a:p>
                        <a:r>
                          <a:rPr lang="en-US" sz="1100"/>
                          <a:t>8</a:t>
                        </a:r>
                        <a:endParaRPr lang="fa-IR" sz="1100"/>
                      </a:p>
                    </xdr:txBody>
                  </xdr:sp>
                  <xdr:sp macro="" textlink="">
                    <xdr:nvSpPr>
                      <xdr:cNvPr id="263" name="TextBox 262"/>
                      <xdr:cNvSpPr txBox="1"/>
                    </xdr:nvSpPr>
                    <xdr:spPr>
                      <a:xfrm>
                        <a:off x="17570823" y="12813926"/>
                        <a:ext cx="151280" cy="246529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1" anchor="ctr"/>
                      <a:lstStyle/>
                      <a:p>
                        <a:pPr algn="ctr"/>
                        <a:r>
                          <a:rPr lang="en-US" sz="1100"/>
                          <a:t>7</a:t>
                        </a:r>
                        <a:endParaRPr lang="fa-IR" sz="1100"/>
                      </a:p>
                    </xdr:txBody>
                  </xdr:sp>
                  <xdr:sp macro="" textlink="">
                    <xdr:nvSpPr>
                      <xdr:cNvPr id="264" name="TextBox 263"/>
                      <xdr:cNvSpPr txBox="1"/>
                    </xdr:nvSpPr>
                    <xdr:spPr>
                      <a:xfrm>
                        <a:off x="16741588" y="12825132"/>
                        <a:ext cx="184897" cy="22972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1" anchor="t"/>
                      <a:lstStyle/>
                      <a:p>
                        <a:r>
                          <a:rPr lang="en-US" sz="1100"/>
                          <a:t>9</a:t>
                        </a:r>
                        <a:endParaRPr lang="fa-IR" sz="1100"/>
                      </a:p>
                    </xdr:txBody>
                  </xdr:sp>
                </xdr:grpSp>
              </xdr:grpSp>
              <xdr:grpSp>
                <xdr:nvGrpSpPr>
                  <xdr:cNvPr id="237" name="Group 91"/>
                  <xdr:cNvGrpSpPr/>
                </xdr:nvGrpSpPr>
                <xdr:grpSpPr>
                  <a:xfrm>
                    <a:off x="18229792" y="13061186"/>
                    <a:ext cx="2808816" cy="181042"/>
                    <a:chOff x="18225336" y="13064289"/>
                    <a:chExt cx="2804360" cy="180474"/>
                  </a:xfrm>
                </xdr:grpSpPr>
                <xdr:cxnSp macro="">
                  <xdr:nvCxnSpPr>
                    <xdr:cNvPr id="248" name="Straight Arrow Connector 247"/>
                    <xdr:cNvCxnSpPr/>
                  </xdr:nvCxnSpPr>
                  <xdr:spPr>
                    <a:xfrm>
                      <a:off x="18225336" y="13160542"/>
                      <a:ext cx="2804360" cy="1588"/>
                    </a:xfrm>
                    <a:prstGeom prst="straightConnector1">
                      <a:avLst/>
                    </a:prstGeom>
                    <a:ln>
                      <a:headEnd type="arrow"/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49" name="Straight Connector 248"/>
                    <xdr:cNvCxnSpPr/>
                  </xdr:nvCxnSpPr>
                  <xdr:spPr>
                    <a:xfrm rot="5400000">
                      <a:off x="18155842" y="13161355"/>
                      <a:ext cx="144000" cy="1588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50" name="Straight Connector 249"/>
                    <xdr:cNvCxnSpPr/>
                  </xdr:nvCxnSpPr>
                  <xdr:spPr>
                    <a:xfrm rot="5400000">
                      <a:off x="20948171" y="13161355"/>
                      <a:ext cx="144000" cy="1588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51" name="TextBox 250"/>
                    <xdr:cNvSpPr txBox="1"/>
                  </xdr:nvSpPr>
                  <xdr:spPr>
                    <a:xfrm>
                      <a:off x="19265566" y="13064289"/>
                      <a:ext cx="571500" cy="180474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ctr"/>
                    <a:lstStyle/>
                    <a:p>
                      <a:pPr algn="ctr"/>
                      <a:r>
                        <a:rPr lang="en-US" sz="1100"/>
                        <a:t>L</a:t>
                      </a:r>
                      <a:endParaRPr lang="fa-IR" sz="1100"/>
                    </a:p>
                  </xdr:txBody>
                </xdr:sp>
              </xdr:grpSp>
              <xdr:grpSp>
                <xdr:nvGrpSpPr>
                  <xdr:cNvPr id="238" name="Group 100"/>
                  <xdr:cNvGrpSpPr/>
                </xdr:nvGrpSpPr>
                <xdr:grpSpPr>
                  <a:xfrm>
                    <a:off x="16973177" y="10025062"/>
                    <a:ext cx="380999" cy="2903274"/>
                    <a:chOff x="16960103" y="10023194"/>
                    <a:chExt cx="380999" cy="2900784"/>
                  </a:xfrm>
                </xdr:grpSpPr>
                <xdr:cxnSp macro="">
                  <xdr:nvCxnSpPr>
                    <xdr:cNvPr id="244" name="Straight Arrow Connector 243"/>
                    <xdr:cNvCxnSpPr/>
                  </xdr:nvCxnSpPr>
                  <xdr:spPr>
                    <a:xfrm rot="5400000" flipH="1" flipV="1">
                      <a:off x="15638276" y="11477158"/>
                      <a:ext cx="2892052" cy="1588"/>
                    </a:xfrm>
                    <a:prstGeom prst="straightConnector1">
                      <a:avLst/>
                    </a:prstGeom>
                    <a:ln>
                      <a:headEnd type="arrow"/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45" name="Straight Connector 244"/>
                    <xdr:cNvCxnSpPr/>
                  </xdr:nvCxnSpPr>
                  <xdr:spPr>
                    <a:xfrm>
                      <a:off x="17012865" y="10023194"/>
                      <a:ext cx="144000" cy="1588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46" name="Straight Connector 245"/>
                    <xdr:cNvCxnSpPr/>
                  </xdr:nvCxnSpPr>
                  <xdr:spPr>
                    <a:xfrm>
                      <a:off x="17016132" y="12914779"/>
                      <a:ext cx="144000" cy="1588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47" name="TextBox 246"/>
                    <xdr:cNvSpPr txBox="1"/>
                  </xdr:nvSpPr>
                  <xdr:spPr>
                    <a:xfrm>
                      <a:off x="16960103" y="11155456"/>
                      <a:ext cx="380999" cy="63313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ctr"/>
                    <a:lstStyle/>
                    <a:p>
                      <a:pPr algn="ctr"/>
                      <a:r>
                        <a:rPr lang="en-US" sz="1100"/>
                        <a:t>h1</a:t>
                      </a:r>
                      <a:endParaRPr lang="fa-IR" sz="1100"/>
                    </a:p>
                  </xdr:txBody>
                </xdr:sp>
              </xdr:grpSp>
              <xdr:grpSp>
                <xdr:nvGrpSpPr>
                  <xdr:cNvPr id="239" name="Group 106"/>
                  <xdr:cNvGrpSpPr/>
                </xdr:nvGrpSpPr>
                <xdr:grpSpPr>
                  <a:xfrm>
                    <a:off x="22105294" y="10762005"/>
                    <a:ext cx="385317" cy="2178704"/>
                    <a:chOff x="16960103" y="10023194"/>
                    <a:chExt cx="380999" cy="2900784"/>
                  </a:xfrm>
                </xdr:grpSpPr>
                <xdr:cxnSp macro="">
                  <xdr:nvCxnSpPr>
                    <xdr:cNvPr id="240" name="Straight Arrow Connector 239"/>
                    <xdr:cNvCxnSpPr/>
                  </xdr:nvCxnSpPr>
                  <xdr:spPr>
                    <a:xfrm rot="5400000" flipH="1" flipV="1">
                      <a:off x="15638276" y="11477158"/>
                      <a:ext cx="2892052" cy="1588"/>
                    </a:xfrm>
                    <a:prstGeom prst="straightConnector1">
                      <a:avLst/>
                    </a:prstGeom>
                    <a:ln>
                      <a:headEnd type="arrow"/>
                      <a:tailEnd type="arrow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41" name="Straight Connector 240"/>
                    <xdr:cNvCxnSpPr/>
                  </xdr:nvCxnSpPr>
                  <xdr:spPr>
                    <a:xfrm>
                      <a:off x="17012865" y="10023194"/>
                      <a:ext cx="144000" cy="1588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42" name="Straight Connector 241"/>
                    <xdr:cNvCxnSpPr/>
                  </xdr:nvCxnSpPr>
                  <xdr:spPr>
                    <a:xfrm>
                      <a:off x="17016132" y="12914779"/>
                      <a:ext cx="144000" cy="1588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243" name="TextBox 242"/>
                    <xdr:cNvSpPr txBox="1"/>
                  </xdr:nvSpPr>
                  <xdr:spPr>
                    <a:xfrm>
                      <a:off x="16960103" y="11155456"/>
                      <a:ext cx="380999" cy="633132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1" anchor="ctr"/>
                    <a:lstStyle/>
                    <a:p>
                      <a:pPr algn="ctr"/>
                      <a:r>
                        <a:rPr lang="en-US" sz="1100"/>
                        <a:t>h2</a:t>
                      </a:r>
                      <a:endParaRPr lang="fa-IR" sz="1100"/>
                    </a:p>
                  </xdr:txBody>
                </xdr:sp>
              </xdr:grpSp>
            </xdr:grpSp>
            <xdr:sp macro="" textlink="">
              <xdr:nvSpPr>
                <xdr:cNvPr id="306" name="Oval 305"/>
                <xdr:cNvSpPr/>
              </xdr:nvSpPr>
              <xdr:spPr>
                <a:xfrm>
                  <a:off x="20993100" y="44964350"/>
                  <a:ext cx="108000" cy="108000"/>
                </a:xfrm>
                <a:prstGeom prst="ellipse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1" anchor="ctr"/>
                <a:lstStyle/>
                <a:p>
                  <a:pPr algn="ctr"/>
                  <a:endParaRPr lang="fa-IR" sz="1100"/>
                </a:p>
              </xdr:txBody>
            </xdr:sp>
            <xdr:sp macro="" textlink="">
              <xdr:nvSpPr>
                <xdr:cNvPr id="307" name="Oval 306"/>
                <xdr:cNvSpPr/>
              </xdr:nvSpPr>
              <xdr:spPr>
                <a:xfrm>
                  <a:off x="18224500" y="47034450"/>
                  <a:ext cx="108000" cy="108000"/>
                </a:xfrm>
                <a:prstGeom prst="ellipse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1" anchor="ctr"/>
                <a:lstStyle/>
                <a:p>
                  <a:pPr algn="ctr"/>
                  <a:endParaRPr lang="fa-IR" sz="1100"/>
                </a:p>
              </xdr:txBody>
            </xdr:sp>
          </xdr:grpSp>
          <xdr:sp macro="" textlink="">
            <xdr:nvSpPr>
              <xdr:cNvPr id="309" name="Oval 308"/>
              <xdr:cNvSpPr/>
            </xdr:nvSpPr>
            <xdr:spPr>
              <a:xfrm>
                <a:off x="18300700" y="44208700"/>
                <a:ext cx="108000" cy="108000"/>
              </a:xfrm>
              <a:prstGeom prst="ellips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tlCol="1" anchor="ctr"/>
              <a:lstStyle/>
              <a:p>
                <a:pPr algn="ctr"/>
                <a:endParaRPr lang="fa-IR" sz="1100"/>
              </a:p>
            </xdr:txBody>
          </xdr:sp>
        </xdr:grpSp>
        <xdr:sp macro="" textlink="">
          <xdr:nvSpPr>
            <xdr:cNvPr id="311" name="Oval 310"/>
            <xdr:cNvSpPr/>
          </xdr:nvSpPr>
          <xdr:spPr>
            <a:xfrm>
              <a:off x="20956993" y="46325233"/>
              <a:ext cx="108000" cy="10800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</xdr:grpSp>
      <xdr:sp macro="" textlink="">
        <xdr:nvSpPr>
          <xdr:cNvPr id="331" name="Rectangle 330"/>
          <xdr:cNvSpPr/>
        </xdr:nvSpPr>
        <xdr:spPr>
          <a:xfrm>
            <a:off x="18415721" y="46419222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1</a:t>
            </a:r>
            <a:endParaRPr lang="fa-IR" sz="1100"/>
          </a:p>
        </xdr:txBody>
      </xdr:sp>
      <xdr:sp macro="" textlink="">
        <xdr:nvSpPr>
          <xdr:cNvPr id="404" name="Rectangle 403"/>
          <xdr:cNvSpPr/>
        </xdr:nvSpPr>
        <xdr:spPr>
          <a:xfrm>
            <a:off x="18337790" y="43951381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2</a:t>
            </a:r>
            <a:endParaRPr lang="fa-IR" sz="1100"/>
          </a:p>
        </xdr:txBody>
      </xdr:sp>
      <xdr:sp macro="" textlink="">
        <xdr:nvSpPr>
          <xdr:cNvPr id="405" name="Rectangle 404"/>
          <xdr:cNvSpPr/>
        </xdr:nvSpPr>
        <xdr:spPr>
          <a:xfrm>
            <a:off x="20571835" y="44583494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3</a:t>
            </a:r>
            <a:endParaRPr lang="fa-IR" sz="1100"/>
          </a:p>
        </xdr:txBody>
      </xdr:sp>
      <xdr:grpSp>
        <xdr:nvGrpSpPr>
          <xdr:cNvPr id="406" name="Group 405"/>
          <xdr:cNvGrpSpPr/>
        </xdr:nvGrpSpPr>
        <xdr:grpSpPr>
          <a:xfrm>
            <a:off x="20788312" y="44202494"/>
            <a:ext cx="429047" cy="449585"/>
            <a:chOff x="20615966" y="21092572"/>
            <a:chExt cx="431326" cy="445428"/>
          </a:xfrm>
        </xdr:grpSpPr>
        <xdr:sp macro="" textlink="">
          <xdr:nvSpPr>
            <xdr:cNvPr id="407" name="Arc 406"/>
            <xdr:cNvSpPr/>
          </xdr:nvSpPr>
          <xdr:spPr>
            <a:xfrm>
              <a:off x="20622365" y="21228659"/>
              <a:ext cx="381000" cy="309341"/>
            </a:xfrm>
            <a:prstGeom prst="arc">
              <a:avLst>
                <a:gd name="adj1" fmla="val 11080648"/>
                <a:gd name="adj2" fmla="val 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  <xdr:cxnSp macro="">
          <xdr:nvCxnSpPr>
            <xdr:cNvPr id="408" name="Straight Connector 407"/>
            <xdr:cNvCxnSpPr/>
          </xdr:nvCxnSpPr>
          <xdr:spPr>
            <a:xfrm rot="5400000" flipH="1" flipV="1">
              <a:off x="20560730" y="21312704"/>
              <a:ext cx="112059" cy="158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9" name="Straight Connector 408"/>
            <xdr:cNvCxnSpPr/>
          </xdr:nvCxnSpPr>
          <xdr:spPr>
            <a:xfrm flipV="1">
              <a:off x="20622362" y="21318306"/>
              <a:ext cx="61632" cy="5042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0" name="TextBox 409"/>
            <xdr:cNvSpPr txBox="1"/>
          </xdr:nvSpPr>
          <xdr:spPr>
            <a:xfrm>
              <a:off x="20667315" y="21092572"/>
              <a:ext cx="379977" cy="11090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1" anchor="ctr"/>
            <a:lstStyle/>
            <a:p>
              <a:r>
                <a:rPr lang="en-US" sz="1100"/>
                <a:t>13</a:t>
              </a:r>
              <a:endParaRPr lang="fa-IR" sz="1100"/>
            </a:p>
          </xdr:txBody>
        </xdr:sp>
      </xdr:grpSp>
      <xdr:sp macro="" textlink="">
        <xdr:nvSpPr>
          <xdr:cNvPr id="412" name="Rectangle 411"/>
          <xdr:cNvSpPr/>
        </xdr:nvSpPr>
        <xdr:spPr>
          <a:xfrm>
            <a:off x="20563176" y="46410563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4</a:t>
            </a:r>
            <a:endParaRPr lang="fa-IR" sz="1100"/>
          </a:p>
        </xdr:txBody>
      </xdr:sp>
    </xdr:grpSp>
    <xdr:clientData/>
  </xdr:twoCellAnchor>
  <xdr:twoCellAnchor>
    <xdr:from>
      <xdr:col>21</xdr:col>
      <xdr:colOff>682625</xdr:colOff>
      <xdr:row>50</xdr:row>
      <xdr:rowOff>23112</xdr:rowOff>
    </xdr:from>
    <xdr:to>
      <xdr:col>30</xdr:col>
      <xdr:colOff>682626</xdr:colOff>
      <xdr:row>71</xdr:row>
      <xdr:rowOff>1</xdr:rowOff>
    </xdr:to>
    <xdr:grpSp>
      <xdr:nvGrpSpPr>
        <xdr:cNvPr id="423" name="Group 422"/>
        <xdr:cNvGrpSpPr/>
      </xdr:nvGrpSpPr>
      <xdr:grpSpPr>
        <a:xfrm>
          <a:off x="15297337" y="9817053"/>
          <a:ext cx="5446060" cy="4089448"/>
          <a:chOff x="16927080" y="9539453"/>
          <a:chExt cx="6156614" cy="3951412"/>
        </a:xfrm>
      </xdr:grpSpPr>
      <xdr:grpSp>
        <xdr:nvGrpSpPr>
          <xdr:cNvPr id="301" name="Group 300"/>
          <xdr:cNvGrpSpPr/>
        </xdr:nvGrpSpPr>
        <xdr:grpSpPr>
          <a:xfrm>
            <a:off x="16927080" y="9539453"/>
            <a:ext cx="6156614" cy="3951412"/>
            <a:chOff x="16938625" y="9656062"/>
            <a:chExt cx="6172201" cy="4002789"/>
          </a:xfrm>
        </xdr:grpSpPr>
        <xdr:grpSp>
          <xdr:nvGrpSpPr>
            <xdr:cNvPr id="113" name="Group 112"/>
            <xdr:cNvGrpSpPr/>
          </xdr:nvGrpSpPr>
          <xdr:grpSpPr>
            <a:xfrm>
              <a:off x="16938625" y="9656062"/>
              <a:ext cx="6172201" cy="4002789"/>
              <a:chOff x="16917458" y="9537529"/>
              <a:chExt cx="6191251" cy="3945639"/>
            </a:xfrm>
          </xdr:grpSpPr>
          <xdr:sp macro="" textlink="">
            <xdr:nvSpPr>
              <xdr:cNvPr id="3" name="Rectangle 2"/>
              <xdr:cNvSpPr/>
            </xdr:nvSpPr>
            <xdr:spPr>
              <a:xfrm>
                <a:off x="16917458" y="9537529"/>
                <a:ext cx="6191251" cy="3945639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rtlCol="1" anchor="ctr"/>
              <a:lstStyle/>
              <a:p>
                <a:pPr algn="ctr"/>
                <a:endParaRPr lang="fa-IR" sz="1100"/>
              </a:p>
            </xdr:txBody>
          </xdr:sp>
          <xdr:grpSp>
            <xdr:nvGrpSpPr>
              <xdr:cNvPr id="84" name="Group 83"/>
              <xdr:cNvGrpSpPr/>
            </xdr:nvGrpSpPr>
            <xdr:grpSpPr>
              <a:xfrm>
                <a:off x="17130201" y="9601403"/>
                <a:ext cx="5441557" cy="3485947"/>
                <a:chOff x="17114326" y="9596111"/>
                <a:chExt cx="5399224" cy="3459489"/>
              </a:xfrm>
            </xdr:grpSpPr>
            <xdr:grpSp>
              <xdr:nvGrpSpPr>
                <xdr:cNvPr id="20" name="Group 19"/>
                <xdr:cNvGrpSpPr/>
              </xdr:nvGrpSpPr>
              <xdr:grpSpPr>
                <a:xfrm>
                  <a:off x="18123586" y="10093325"/>
                  <a:ext cx="2933174" cy="2802164"/>
                  <a:chOff x="18145131" y="10116004"/>
                  <a:chExt cx="2955852" cy="2819173"/>
                </a:xfrm>
              </xdr:grpSpPr>
              <xdr:cxnSp macro="">
                <xdr:nvCxnSpPr>
                  <xdr:cNvPr id="5" name="Straight Connector 4"/>
                  <xdr:cNvCxnSpPr/>
                </xdr:nvCxnSpPr>
                <xdr:spPr>
                  <a:xfrm rot="5400000" flipH="1" flipV="1">
                    <a:off x="16822682" y="11522699"/>
                    <a:ext cx="2814978" cy="1588"/>
                  </a:xfrm>
                  <a:prstGeom prst="line">
                    <a:avLst/>
                  </a:prstGeom>
                  <a:effectLst/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" name="Straight Connector 6"/>
                  <xdr:cNvCxnSpPr/>
                </xdr:nvCxnSpPr>
                <xdr:spPr>
                  <a:xfrm>
                    <a:off x="18225408" y="10117592"/>
                    <a:ext cx="2777218" cy="681378"/>
                  </a:xfrm>
                  <a:prstGeom prst="line">
                    <a:avLst/>
                  </a:prstGeom>
                  <a:effectLst/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9" name="Straight Connector 8"/>
                  <xdr:cNvCxnSpPr/>
                </xdr:nvCxnSpPr>
                <xdr:spPr>
                  <a:xfrm rot="5400000">
                    <a:off x="19941403" y="11860235"/>
                    <a:ext cx="2122490" cy="1547"/>
                  </a:xfrm>
                  <a:prstGeom prst="line">
                    <a:avLst/>
                  </a:prstGeom>
                  <a:effectLst/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" name="Straight Connector 13"/>
                  <xdr:cNvCxnSpPr/>
                </xdr:nvCxnSpPr>
                <xdr:spPr>
                  <a:xfrm>
                    <a:off x="18145131" y="12933589"/>
                    <a:ext cx="180000" cy="1588"/>
                  </a:xfrm>
                  <a:prstGeom prst="line">
                    <a:avLst/>
                  </a:prstGeom>
                  <a:effectLst/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Straight Connector 15"/>
                  <xdr:cNvCxnSpPr/>
                </xdr:nvCxnSpPr>
                <xdr:spPr>
                  <a:xfrm>
                    <a:off x="20920983" y="12923376"/>
                    <a:ext cx="180000" cy="1588"/>
                  </a:xfrm>
                  <a:prstGeom prst="line">
                    <a:avLst/>
                  </a:prstGeom>
                  <a:effectLst/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53" name="Group 52"/>
                <xdr:cNvGrpSpPr/>
              </xdr:nvGrpSpPr>
              <xdr:grpSpPr>
                <a:xfrm>
                  <a:off x="17136595" y="12249897"/>
                  <a:ext cx="978648" cy="805703"/>
                  <a:chOff x="16741588" y="12360088"/>
                  <a:chExt cx="980515" cy="787027"/>
                </a:xfrm>
              </xdr:grpSpPr>
              <xdr:cxnSp macro="">
                <xdr:nvCxnSpPr>
                  <xdr:cNvPr id="22" name="Straight Arrow Connector 21"/>
                  <xdr:cNvCxnSpPr/>
                </xdr:nvCxnSpPr>
                <xdr:spPr>
                  <a:xfrm>
                    <a:off x="17181819" y="12970809"/>
                    <a:ext cx="360589" cy="1588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4" name="Straight Arrow Connector 23"/>
                  <xdr:cNvCxnSpPr/>
                </xdr:nvCxnSpPr>
                <xdr:spPr>
                  <a:xfrm rot="5400000" flipH="1" flipV="1">
                    <a:off x="16997416" y="12792170"/>
                    <a:ext cx="368805" cy="1588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5" name="Arc 34"/>
                  <xdr:cNvSpPr/>
                </xdr:nvSpPr>
                <xdr:spPr>
                  <a:xfrm>
                    <a:off x="16973176" y="12807203"/>
                    <a:ext cx="419100" cy="339912"/>
                  </a:xfrm>
                  <a:prstGeom prst="arc">
                    <a:avLst>
                      <a:gd name="adj1" fmla="val 10541442"/>
                      <a:gd name="adj2" fmla="val 21385420"/>
                    </a:avLst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  <xdr:txBody>
                  <a:bodyPr rtlCol="1" anchor="ctr"/>
                  <a:lstStyle/>
                  <a:p>
                    <a:pPr algn="ctr"/>
                    <a:endParaRPr lang="fa-IR" sz="1100"/>
                  </a:p>
                </xdr:txBody>
              </xdr:sp>
              <xdr:cxnSp macro="">
                <xdr:nvCxnSpPr>
                  <xdr:cNvPr id="37" name="Straight Connector 36"/>
                  <xdr:cNvCxnSpPr/>
                </xdr:nvCxnSpPr>
                <xdr:spPr>
                  <a:xfrm rot="16200000" flipV="1">
                    <a:off x="16897723" y="12927106"/>
                    <a:ext cx="125506" cy="1270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9" name="Straight Connector 38"/>
                  <xdr:cNvCxnSpPr/>
                </xdr:nvCxnSpPr>
                <xdr:spPr>
                  <a:xfrm rot="5400000" flipH="1" flipV="1">
                    <a:off x="16966826" y="12913659"/>
                    <a:ext cx="76200" cy="7620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0" name="TextBox 39"/>
                  <xdr:cNvSpPr txBox="1"/>
                </xdr:nvSpPr>
                <xdr:spPr>
                  <a:xfrm>
                    <a:off x="17066559" y="12360088"/>
                    <a:ext cx="201706" cy="18489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t"/>
                  <a:lstStyle/>
                  <a:p>
                    <a:r>
                      <a:rPr lang="en-US" sz="1100"/>
                      <a:t>2</a:t>
                    </a:r>
                    <a:endParaRPr lang="fa-IR" sz="1100"/>
                  </a:p>
                </xdr:txBody>
              </xdr:sp>
              <xdr:sp macro="" textlink="">
                <xdr:nvSpPr>
                  <xdr:cNvPr id="42" name="TextBox 41"/>
                  <xdr:cNvSpPr txBox="1"/>
                </xdr:nvSpPr>
                <xdr:spPr>
                  <a:xfrm>
                    <a:off x="17570823" y="12813926"/>
                    <a:ext cx="151280" cy="246529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ctr"/>
                  <a:lstStyle/>
                  <a:p>
                    <a:pPr algn="ctr"/>
                    <a:r>
                      <a:rPr lang="en-US" sz="1100"/>
                      <a:t>1</a:t>
                    </a:r>
                    <a:endParaRPr lang="fa-IR" sz="1100"/>
                  </a:p>
                </xdr:txBody>
              </xdr:sp>
              <xdr:sp macro="" textlink="">
                <xdr:nvSpPr>
                  <xdr:cNvPr id="43" name="TextBox 42"/>
                  <xdr:cNvSpPr txBox="1"/>
                </xdr:nvSpPr>
                <xdr:spPr>
                  <a:xfrm>
                    <a:off x="16741588" y="12825132"/>
                    <a:ext cx="184897" cy="22972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t"/>
                  <a:lstStyle/>
                  <a:p>
                    <a:r>
                      <a:rPr lang="en-US" sz="1100"/>
                      <a:t>3</a:t>
                    </a:r>
                    <a:endParaRPr lang="fa-IR" sz="1100"/>
                  </a:p>
                </xdr:txBody>
              </xdr:sp>
            </xdr:grpSp>
            <xdr:grpSp>
              <xdr:nvGrpSpPr>
                <xdr:cNvPr id="55" name="Group 54"/>
                <xdr:cNvGrpSpPr/>
              </xdr:nvGrpSpPr>
              <xdr:grpSpPr>
                <a:xfrm>
                  <a:off x="21067761" y="12202973"/>
                  <a:ext cx="979581" cy="805703"/>
                  <a:chOff x="16741588" y="12360088"/>
                  <a:chExt cx="980515" cy="787027"/>
                </a:xfrm>
              </xdr:grpSpPr>
              <xdr:cxnSp macro="">
                <xdr:nvCxnSpPr>
                  <xdr:cNvPr id="56" name="Straight Arrow Connector 55"/>
                  <xdr:cNvCxnSpPr/>
                </xdr:nvCxnSpPr>
                <xdr:spPr>
                  <a:xfrm>
                    <a:off x="17181819" y="12970809"/>
                    <a:ext cx="360589" cy="1588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7" name="Straight Arrow Connector 56"/>
                  <xdr:cNvCxnSpPr/>
                </xdr:nvCxnSpPr>
                <xdr:spPr>
                  <a:xfrm rot="5400000" flipH="1" flipV="1">
                    <a:off x="16997416" y="12792170"/>
                    <a:ext cx="368805" cy="1588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8" name="Arc 57"/>
                  <xdr:cNvSpPr/>
                </xdr:nvSpPr>
                <xdr:spPr>
                  <a:xfrm>
                    <a:off x="16973176" y="12807203"/>
                    <a:ext cx="419100" cy="339912"/>
                  </a:xfrm>
                  <a:prstGeom prst="arc">
                    <a:avLst>
                      <a:gd name="adj1" fmla="val 10541442"/>
                      <a:gd name="adj2" fmla="val 21385420"/>
                    </a:avLst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  <xdr:txBody>
                  <a:bodyPr rtlCol="1" anchor="ctr"/>
                  <a:lstStyle/>
                  <a:p>
                    <a:pPr algn="ctr"/>
                    <a:endParaRPr lang="fa-IR" sz="1100"/>
                  </a:p>
                </xdr:txBody>
              </xdr:sp>
              <xdr:cxnSp macro="">
                <xdr:nvCxnSpPr>
                  <xdr:cNvPr id="59" name="Straight Connector 58"/>
                  <xdr:cNvCxnSpPr/>
                </xdr:nvCxnSpPr>
                <xdr:spPr>
                  <a:xfrm rot="16200000" flipV="1">
                    <a:off x="16897723" y="12927106"/>
                    <a:ext cx="125506" cy="1270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" name="Straight Connector 59"/>
                  <xdr:cNvCxnSpPr/>
                </xdr:nvCxnSpPr>
                <xdr:spPr>
                  <a:xfrm rot="5400000" flipH="1" flipV="1">
                    <a:off x="16966826" y="12913659"/>
                    <a:ext cx="76200" cy="7620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1" name="TextBox 60"/>
                  <xdr:cNvSpPr txBox="1"/>
                </xdr:nvSpPr>
                <xdr:spPr>
                  <a:xfrm>
                    <a:off x="17066559" y="12360088"/>
                    <a:ext cx="201706" cy="18489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t"/>
                  <a:lstStyle/>
                  <a:p>
                    <a:r>
                      <a:rPr lang="en-US" sz="1100"/>
                      <a:t>5</a:t>
                    </a:r>
                    <a:endParaRPr lang="fa-IR" sz="1100"/>
                  </a:p>
                </xdr:txBody>
              </xdr:sp>
              <xdr:sp macro="" textlink="">
                <xdr:nvSpPr>
                  <xdr:cNvPr id="62" name="TextBox 61"/>
                  <xdr:cNvSpPr txBox="1"/>
                </xdr:nvSpPr>
                <xdr:spPr>
                  <a:xfrm>
                    <a:off x="17570823" y="12813926"/>
                    <a:ext cx="151280" cy="246529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ctr"/>
                  <a:lstStyle/>
                  <a:p>
                    <a:pPr algn="ctr"/>
                    <a:r>
                      <a:rPr lang="en-US" sz="1100"/>
                      <a:t>4</a:t>
                    </a:r>
                    <a:endParaRPr lang="fa-IR" sz="1100"/>
                  </a:p>
                </xdr:txBody>
              </xdr:sp>
              <xdr:sp macro="" textlink="">
                <xdr:nvSpPr>
                  <xdr:cNvPr id="63" name="TextBox 62"/>
                  <xdr:cNvSpPr txBox="1"/>
                </xdr:nvSpPr>
                <xdr:spPr>
                  <a:xfrm>
                    <a:off x="16741588" y="12825132"/>
                    <a:ext cx="184897" cy="22972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t"/>
                  <a:lstStyle/>
                  <a:p>
                    <a:r>
                      <a:rPr lang="en-US" sz="1100"/>
                      <a:t>6</a:t>
                    </a:r>
                    <a:endParaRPr lang="fa-IR" sz="1100"/>
                  </a:p>
                </xdr:txBody>
              </xdr:sp>
            </xdr:grpSp>
            <xdr:grpSp>
              <xdr:nvGrpSpPr>
                <xdr:cNvPr id="65" name="Group 64"/>
                <xdr:cNvGrpSpPr/>
              </xdr:nvGrpSpPr>
              <xdr:grpSpPr>
                <a:xfrm>
                  <a:off x="20991417" y="10146880"/>
                  <a:ext cx="1522133" cy="773019"/>
                  <a:chOff x="16468022" y="12360088"/>
                  <a:chExt cx="1524001" cy="787027"/>
                </a:xfrm>
              </xdr:grpSpPr>
              <xdr:cxnSp macro="">
                <xdr:nvCxnSpPr>
                  <xdr:cNvPr id="66" name="Straight Arrow Connector 65"/>
                  <xdr:cNvCxnSpPr/>
                </xdr:nvCxnSpPr>
                <xdr:spPr>
                  <a:xfrm>
                    <a:off x="17181819" y="12970809"/>
                    <a:ext cx="360589" cy="1588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7" name="Straight Arrow Connector 66"/>
                  <xdr:cNvCxnSpPr/>
                </xdr:nvCxnSpPr>
                <xdr:spPr>
                  <a:xfrm rot="5400000" flipH="1" flipV="1">
                    <a:off x="16997416" y="12792170"/>
                    <a:ext cx="368805" cy="1588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8" name="Arc 67"/>
                  <xdr:cNvSpPr/>
                </xdr:nvSpPr>
                <xdr:spPr>
                  <a:xfrm>
                    <a:off x="16973176" y="12807203"/>
                    <a:ext cx="419100" cy="339912"/>
                  </a:xfrm>
                  <a:prstGeom prst="arc">
                    <a:avLst>
                      <a:gd name="adj1" fmla="val 10541442"/>
                      <a:gd name="adj2" fmla="val 21385420"/>
                    </a:avLst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  <xdr:txBody>
                  <a:bodyPr rtlCol="1" anchor="ctr"/>
                  <a:lstStyle/>
                  <a:p>
                    <a:pPr algn="ctr"/>
                    <a:endParaRPr lang="fa-IR" sz="1100"/>
                  </a:p>
                </xdr:txBody>
              </xdr:sp>
              <xdr:cxnSp macro="">
                <xdr:nvCxnSpPr>
                  <xdr:cNvPr id="69" name="Straight Connector 68"/>
                  <xdr:cNvCxnSpPr/>
                </xdr:nvCxnSpPr>
                <xdr:spPr>
                  <a:xfrm rot="16200000" flipV="1">
                    <a:off x="16897723" y="12927106"/>
                    <a:ext cx="125506" cy="1270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0" name="Straight Connector 69"/>
                  <xdr:cNvCxnSpPr/>
                </xdr:nvCxnSpPr>
                <xdr:spPr>
                  <a:xfrm rot="5400000" flipH="1" flipV="1">
                    <a:off x="16966826" y="12913659"/>
                    <a:ext cx="76200" cy="7620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71" name="TextBox 70"/>
                  <xdr:cNvSpPr txBox="1"/>
                </xdr:nvSpPr>
                <xdr:spPr>
                  <a:xfrm>
                    <a:off x="17066558" y="12360088"/>
                    <a:ext cx="404391" cy="18489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t"/>
                  <a:lstStyle/>
                  <a:p>
                    <a:r>
                      <a:rPr lang="en-US" sz="1100"/>
                      <a:t>11</a:t>
                    </a:r>
                    <a:endParaRPr lang="fa-IR" sz="1100"/>
                  </a:p>
                </xdr:txBody>
              </xdr:sp>
              <xdr:sp macro="" textlink="">
                <xdr:nvSpPr>
                  <xdr:cNvPr id="72" name="TextBox 71"/>
                  <xdr:cNvSpPr txBox="1"/>
                </xdr:nvSpPr>
                <xdr:spPr>
                  <a:xfrm>
                    <a:off x="17654867" y="12819529"/>
                    <a:ext cx="337156" cy="246529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ctr"/>
                  <a:lstStyle/>
                  <a:p>
                    <a:pPr algn="ctr"/>
                    <a:r>
                      <a:rPr lang="en-US" sz="1100"/>
                      <a:t>10</a:t>
                    </a:r>
                    <a:endParaRPr lang="fa-IR" sz="1100"/>
                  </a:p>
                </xdr:txBody>
              </xdr:sp>
              <xdr:sp macro="" textlink="">
                <xdr:nvSpPr>
                  <xdr:cNvPr id="73" name="TextBox 72"/>
                  <xdr:cNvSpPr txBox="1"/>
                </xdr:nvSpPr>
                <xdr:spPr>
                  <a:xfrm>
                    <a:off x="16468022" y="12825132"/>
                    <a:ext cx="414619" cy="22972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t"/>
                  <a:lstStyle/>
                  <a:p>
                    <a:pPr algn="r"/>
                    <a:r>
                      <a:rPr lang="en-US" sz="1100"/>
                      <a:t>12</a:t>
                    </a:r>
                    <a:endParaRPr lang="fa-IR" sz="1100"/>
                  </a:p>
                </xdr:txBody>
              </xdr:sp>
            </xdr:grpSp>
            <xdr:grpSp>
              <xdr:nvGrpSpPr>
                <xdr:cNvPr id="74" name="Group 73"/>
                <xdr:cNvGrpSpPr/>
              </xdr:nvGrpSpPr>
              <xdr:grpSpPr>
                <a:xfrm>
                  <a:off x="17114326" y="9596111"/>
                  <a:ext cx="979581" cy="768350"/>
                  <a:chOff x="16741588" y="12360088"/>
                  <a:chExt cx="980515" cy="787027"/>
                </a:xfrm>
              </xdr:grpSpPr>
              <xdr:cxnSp macro="">
                <xdr:nvCxnSpPr>
                  <xdr:cNvPr id="75" name="Straight Arrow Connector 74"/>
                  <xdr:cNvCxnSpPr/>
                </xdr:nvCxnSpPr>
                <xdr:spPr>
                  <a:xfrm>
                    <a:off x="17181819" y="12970809"/>
                    <a:ext cx="360589" cy="1588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" name="Straight Arrow Connector 75"/>
                  <xdr:cNvCxnSpPr/>
                </xdr:nvCxnSpPr>
                <xdr:spPr>
                  <a:xfrm rot="5400000" flipH="1" flipV="1">
                    <a:off x="16997416" y="12792170"/>
                    <a:ext cx="368805" cy="1588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77" name="Arc 76"/>
                  <xdr:cNvSpPr/>
                </xdr:nvSpPr>
                <xdr:spPr>
                  <a:xfrm>
                    <a:off x="16973176" y="12807203"/>
                    <a:ext cx="419100" cy="339912"/>
                  </a:xfrm>
                  <a:prstGeom prst="arc">
                    <a:avLst>
                      <a:gd name="adj1" fmla="val 10541442"/>
                      <a:gd name="adj2" fmla="val 21385420"/>
                    </a:avLst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  <xdr:txBody>
                  <a:bodyPr rtlCol="1" anchor="ctr"/>
                  <a:lstStyle/>
                  <a:p>
                    <a:pPr algn="ctr"/>
                    <a:endParaRPr lang="fa-IR" sz="1100"/>
                  </a:p>
                </xdr:txBody>
              </xdr:sp>
              <xdr:cxnSp macro="">
                <xdr:nvCxnSpPr>
                  <xdr:cNvPr id="78" name="Straight Connector 77"/>
                  <xdr:cNvCxnSpPr/>
                </xdr:nvCxnSpPr>
                <xdr:spPr>
                  <a:xfrm rot="16200000" flipV="1">
                    <a:off x="16897723" y="12927106"/>
                    <a:ext cx="125506" cy="1270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9" name="Straight Connector 78"/>
                  <xdr:cNvCxnSpPr/>
                </xdr:nvCxnSpPr>
                <xdr:spPr>
                  <a:xfrm rot="5400000" flipH="1" flipV="1">
                    <a:off x="16966826" y="12913659"/>
                    <a:ext cx="76200" cy="7620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80" name="TextBox 79"/>
                  <xdr:cNvSpPr txBox="1"/>
                </xdr:nvSpPr>
                <xdr:spPr>
                  <a:xfrm>
                    <a:off x="17066559" y="12360088"/>
                    <a:ext cx="201706" cy="184897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t"/>
                  <a:lstStyle/>
                  <a:p>
                    <a:r>
                      <a:rPr lang="en-US" sz="1100"/>
                      <a:t>8</a:t>
                    </a:r>
                    <a:endParaRPr lang="fa-IR" sz="1100"/>
                  </a:p>
                </xdr:txBody>
              </xdr:sp>
              <xdr:sp macro="" textlink="">
                <xdr:nvSpPr>
                  <xdr:cNvPr id="81" name="TextBox 80"/>
                  <xdr:cNvSpPr txBox="1"/>
                </xdr:nvSpPr>
                <xdr:spPr>
                  <a:xfrm>
                    <a:off x="17570823" y="12813926"/>
                    <a:ext cx="151280" cy="246529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ctr"/>
                  <a:lstStyle/>
                  <a:p>
                    <a:pPr algn="ctr"/>
                    <a:r>
                      <a:rPr lang="en-US" sz="1100"/>
                      <a:t>7</a:t>
                    </a:r>
                    <a:endParaRPr lang="fa-IR" sz="1100"/>
                  </a:p>
                </xdr:txBody>
              </xdr:sp>
              <xdr:sp macro="" textlink="">
                <xdr:nvSpPr>
                  <xdr:cNvPr id="82" name="TextBox 81"/>
                  <xdr:cNvSpPr txBox="1"/>
                </xdr:nvSpPr>
                <xdr:spPr>
                  <a:xfrm>
                    <a:off x="16741588" y="12825132"/>
                    <a:ext cx="184897" cy="22972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1" anchor="t"/>
                  <a:lstStyle/>
                  <a:p>
                    <a:r>
                      <a:rPr lang="en-US" sz="1100"/>
                      <a:t>9</a:t>
                    </a:r>
                    <a:endParaRPr lang="fa-IR" sz="1100"/>
                  </a:p>
                </xdr:txBody>
              </xdr:sp>
            </xdr:grpSp>
          </xdr:grpSp>
          <xdr:grpSp>
            <xdr:nvGrpSpPr>
              <xdr:cNvPr id="92" name="Group 91"/>
              <xdr:cNvGrpSpPr/>
            </xdr:nvGrpSpPr>
            <xdr:grpSpPr>
              <a:xfrm>
                <a:off x="18229792" y="13060390"/>
                <a:ext cx="2808816" cy="181031"/>
                <a:chOff x="18225336" y="13064289"/>
                <a:chExt cx="2804360" cy="180474"/>
              </a:xfrm>
            </xdr:grpSpPr>
            <xdr:cxnSp macro="">
              <xdr:nvCxnSpPr>
                <xdr:cNvPr id="86" name="Straight Arrow Connector 85"/>
                <xdr:cNvCxnSpPr/>
              </xdr:nvCxnSpPr>
              <xdr:spPr>
                <a:xfrm>
                  <a:off x="18225336" y="13160542"/>
                  <a:ext cx="2804360" cy="1588"/>
                </a:xfrm>
                <a:prstGeom prst="straightConnector1">
                  <a:avLst/>
                </a:prstGeom>
                <a:ln>
                  <a:headEnd type="arrow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8" name="Straight Connector 87"/>
                <xdr:cNvCxnSpPr/>
              </xdr:nvCxnSpPr>
              <xdr:spPr>
                <a:xfrm rot="5400000">
                  <a:off x="18155842" y="13161355"/>
                  <a:ext cx="144000" cy="1588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0" name="Straight Connector 89"/>
                <xdr:cNvCxnSpPr/>
              </xdr:nvCxnSpPr>
              <xdr:spPr>
                <a:xfrm rot="5400000">
                  <a:off x="20948171" y="13161355"/>
                  <a:ext cx="144000" cy="1588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91" name="TextBox 90"/>
                <xdr:cNvSpPr txBox="1"/>
              </xdr:nvSpPr>
              <xdr:spPr>
                <a:xfrm>
                  <a:off x="19265566" y="13064289"/>
                  <a:ext cx="571500" cy="180474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1" anchor="ctr"/>
                <a:lstStyle/>
                <a:p>
                  <a:pPr algn="ctr"/>
                  <a:r>
                    <a:rPr lang="en-US" sz="1100"/>
                    <a:t>L</a:t>
                  </a:r>
                  <a:endParaRPr lang="fa-IR" sz="1100"/>
                </a:p>
              </xdr:txBody>
            </xdr:sp>
          </xdr:grpSp>
          <xdr:grpSp>
            <xdr:nvGrpSpPr>
              <xdr:cNvPr id="101" name="Group 100"/>
              <xdr:cNvGrpSpPr/>
            </xdr:nvGrpSpPr>
            <xdr:grpSpPr>
              <a:xfrm>
                <a:off x="16973177" y="10025062"/>
                <a:ext cx="380999" cy="2903274"/>
                <a:chOff x="16960103" y="10023194"/>
                <a:chExt cx="380999" cy="2900784"/>
              </a:xfrm>
            </xdr:grpSpPr>
            <xdr:cxnSp macro="">
              <xdr:nvCxnSpPr>
                <xdr:cNvPr id="94" name="Straight Arrow Connector 93"/>
                <xdr:cNvCxnSpPr/>
              </xdr:nvCxnSpPr>
              <xdr:spPr>
                <a:xfrm rot="5400000" flipH="1" flipV="1">
                  <a:off x="15638276" y="11477158"/>
                  <a:ext cx="2892052" cy="1588"/>
                </a:xfrm>
                <a:prstGeom prst="straightConnector1">
                  <a:avLst/>
                </a:prstGeom>
                <a:ln>
                  <a:headEnd type="arrow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6" name="Straight Connector 95"/>
                <xdr:cNvCxnSpPr/>
              </xdr:nvCxnSpPr>
              <xdr:spPr>
                <a:xfrm>
                  <a:off x="17012865" y="10023194"/>
                  <a:ext cx="144000" cy="1588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8" name="Straight Connector 97"/>
                <xdr:cNvCxnSpPr/>
              </xdr:nvCxnSpPr>
              <xdr:spPr>
                <a:xfrm>
                  <a:off x="17016132" y="12914779"/>
                  <a:ext cx="144000" cy="1588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99" name="TextBox 98"/>
                <xdr:cNvSpPr txBox="1"/>
              </xdr:nvSpPr>
              <xdr:spPr>
                <a:xfrm>
                  <a:off x="16960103" y="11155456"/>
                  <a:ext cx="380999" cy="633132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1" anchor="ctr"/>
                <a:lstStyle/>
                <a:p>
                  <a:pPr algn="ctr"/>
                  <a:r>
                    <a:rPr lang="en-US" sz="1100"/>
                    <a:t>h1</a:t>
                  </a:r>
                  <a:endParaRPr lang="fa-IR" sz="1100"/>
                </a:p>
              </xdr:txBody>
            </xdr:sp>
          </xdr:grpSp>
          <xdr:grpSp>
            <xdr:nvGrpSpPr>
              <xdr:cNvPr id="107" name="Group 106"/>
              <xdr:cNvGrpSpPr/>
            </xdr:nvGrpSpPr>
            <xdr:grpSpPr>
              <a:xfrm>
                <a:off x="22107028" y="10762005"/>
                <a:ext cx="385356" cy="2178704"/>
                <a:chOff x="16960103" y="10023194"/>
                <a:chExt cx="380999" cy="2900784"/>
              </a:xfrm>
            </xdr:grpSpPr>
            <xdr:cxnSp macro="">
              <xdr:nvCxnSpPr>
                <xdr:cNvPr id="108" name="Straight Arrow Connector 107"/>
                <xdr:cNvCxnSpPr/>
              </xdr:nvCxnSpPr>
              <xdr:spPr>
                <a:xfrm rot="5400000" flipH="1" flipV="1">
                  <a:off x="15638276" y="11477158"/>
                  <a:ext cx="2892052" cy="1588"/>
                </a:xfrm>
                <a:prstGeom prst="straightConnector1">
                  <a:avLst/>
                </a:prstGeom>
                <a:ln>
                  <a:headEnd type="arrow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9" name="Straight Connector 108"/>
                <xdr:cNvCxnSpPr/>
              </xdr:nvCxnSpPr>
              <xdr:spPr>
                <a:xfrm>
                  <a:off x="17012865" y="10023194"/>
                  <a:ext cx="144000" cy="1588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0" name="Straight Connector 109"/>
                <xdr:cNvCxnSpPr/>
              </xdr:nvCxnSpPr>
              <xdr:spPr>
                <a:xfrm>
                  <a:off x="17016132" y="12914779"/>
                  <a:ext cx="144000" cy="1588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1" name="TextBox 110"/>
                <xdr:cNvSpPr txBox="1"/>
              </xdr:nvSpPr>
              <xdr:spPr>
                <a:xfrm>
                  <a:off x="16960103" y="11155456"/>
                  <a:ext cx="380999" cy="633132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1" anchor="ctr"/>
                <a:lstStyle/>
                <a:p>
                  <a:pPr algn="ctr"/>
                  <a:r>
                    <a:rPr lang="en-US" sz="1100"/>
                    <a:t>h2</a:t>
                  </a:r>
                  <a:endParaRPr lang="fa-IR" sz="1100"/>
                </a:p>
              </xdr:txBody>
            </xdr:sp>
          </xdr:grpSp>
        </xdr:grpSp>
        <xdr:sp macro="" textlink="">
          <xdr:nvSpPr>
            <xdr:cNvPr id="300" name="Oval 299"/>
            <xdr:cNvSpPr/>
          </xdr:nvSpPr>
          <xdr:spPr>
            <a:xfrm>
              <a:off x="20961341" y="12965542"/>
              <a:ext cx="108000" cy="10800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tlCol="1" anchor="ctr"/>
            <a:lstStyle/>
            <a:p>
              <a:pPr algn="ctr"/>
              <a:endParaRPr lang="fa-IR" sz="1100"/>
            </a:p>
          </xdr:txBody>
        </xdr:sp>
      </xdr:grpSp>
      <xdr:sp macro="" textlink="">
        <xdr:nvSpPr>
          <xdr:cNvPr id="419" name="Rectangle 418"/>
          <xdr:cNvSpPr/>
        </xdr:nvSpPr>
        <xdr:spPr>
          <a:xfrm>
            <a:off x="18390466" y="12769294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1</a:t>
            </a:r>
            <a:endParaRPr lang="fa-IR" sz="1100"/>
          </a:p>
        </xdr:txBody>
      </xdr:sp>
      <xdr:sp macro="" textlink="">
        <xdr:nvSpPr>
          <xdr:cNvPr id="420" name="Rectangle 419"/>
          <xdr:cNvSpPr/>
        </xdr:nvSpPr>
        <xdr:spPr>
          <a:xfrm>
            <a:off x="18295216" y="10284135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2</a:t>
            </a:r>
            <a:endParaRPr lang="fa-IR" sz="1100"/>
          </a:p>
        </xdr:txBody>
      </xdr:sp>
      <xdr:sp macro="" textlink="">
        <xdr:nvSpPr>
          <xdr:cNvPr id="421" name="Rectangle 420"/>
          <xdr:cNvSpPr/>
        </xdr:nvSpPr>
        <xdr:spPr>
          <a:xfrm>
            <a:off x="20581216" y="10829658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3</a:t>
            </a:r>
            <a:endParaRPr lang="fa-IR" sz="1100"/>
          </a:p>
        </xdr:txBody>
      </xdr:sp>
      <xdr:sp macro="" textlink="">
        <xdr:nvSpPr>
          <xdr:cNvPr id="422" name="Rectangle 421"/>
          <xdr:cNvSpPr/>
        </xdr:nvSpPr>
        <xdr:spPr>
          <a:xfrm>
            <a:off x="20520602" y="12769294"/>
            <a:ext cx="285750" cy="16452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rtlCol="1" anchor="ctr"/>
          <a:lstStyle/>
          <a:p>
            <a:pPr algn="ctr"/>
            <a:r>
              <a:rPr lang="en-US" sz="1100"/>
              <a:t>4</a:t>
            </a:r>
            <a:endParaRPr lang="fa-IR" sz="1100"/>
          </a:p>
        </xdr:txBody>
      </xdr:sp>
    </xdr:grpSp>
    <xdr:clientData/>
  </xdr:twoCellAnchor>
  <xdr:twoCellAnchor>
    <xdr:from>
      <xdr:col>31</xdr:col>
      <xdr:colOff>95249</xdr:colOff>
      <xdr:row>50</xdr:row>
      <xdr:rowOff>11907</xdr:rowOff>
    </xdr:from>
    <xdr:to>
      <xdr:col>39</xdr:col>
      <xdr:colOff>583592</xdr:colOff>
      <xdr:row>70</xdr:row>
      <xdr:rowOff>191532</xdr:rowOff>
    </xdr:to>
    <xdr:graphicFrame macro="">
      <xdr:nvGraphicFramePr>
        <xdr:cNvPr id="424" name="Chart 4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130969</xdr:colOff>
      <xdr:row>108</xdr:row>
      <xdr:rowOff>1</xdr:rowOff>
    </xdr:from>
    <xdr:to>
      <xdr:col>39</xdr:col>
      <xdr:colOff>619312</xdr:colOff>
      <xdr:row>128</xdr:row>
      <xdr:rowOff>155813</xdr:rowOff>
    </xdr:to>
    <xdr:graphicFrame macro="">
      <xdr:nvGraphicFramePr>
        <xdr:cNvPr id="425" name="Chart 4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202407</xdr:colOff>
      <xdr:row>168</xdr:row>
      <xdr:rowOff>23811</xdr:rowOff>
    </xdr:from>
    <xdr:to>
      <xdr:col>40</xdr:col>
      <xdr:colOff>188</xdr:colOff>
      <xdr:row>188</xdr:row>
      <xdr:rowOff>155811</xdr:rowOff>
    </xdr:to>
    <xdr:graphicFrame macro="">
      <xdr:nvGraphicFramePr>
        <xdr:cNvPr id="426" name="Chart 4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154781</xdr:colOff>
      <xdr:row>229</xdr:row>
      <xdr:rowOff>11905</xdr:rowOff>
    </xdr:from>
    <xdr:to>
      <xdr:col>39</xdr:col>
      <xdr:colOff>643124</xdr:colOff>
      <xdr:row>249</xdr:row>
      <xdr:rowOff>192093</xdr:rowOff>
    </xdr:to>
    <xdr:graphicFrame macro="">
      <xdr:nvGraphicFramePr>
        <xdr:cNvPr id="427" name="Chart 4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190500</xdr:colOff>
      <xdr:row>15</xdr:row>
      <xdr:rowOff>111125</xdr:rowOff>
    </xdr:from>
    <xdr:to>
      <xdr:col>16</xdr:col>
      <xdr:colOff>208189</xdr:colOff>
      <xdr:row>24</xdr:row>
      <xdr:rowOff>58057</xdr:rowOff>
    </xdr:to>
    <xdr:pic>
      <xdr:nvPicPr>
        <xdr:cNvPr id="332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175750" y="3206750"/>
          <a:ext cx="2637064" cy="170905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"/>
  <sheetViews>
    <sheetView workbookViewId="0">
      <selection activeCell="B1" sqref="B1"/>
    </sheetView>
  </sheetViews>
  <sheetFormatPr defaultRowHeight="15" x14ac:dyDescent="0.25"/>
  <cols>
    <col min="1" max="1" width="12.42578125" customWidth="1"/>
    <col min="2" max="2" width="10.42578125" customWidth="1"/>
  </cols>
  <sheetData>
    <row r="1" spans="1:9" x14ac:dyDescent="0.25">
      <c r="A1" t="s">
        <v>0</v>
      </c>
      <c r="B1" s="2">
        <v>60</v>
      </c>
      <c r="D1" t="s">
        <v>4</v>
      </c>
      <c r="E1">
        <v>20</v>
      </c>
    </row>
    <row r="2" spans="1:9" x14ac:dyDescent="0.25">
      <c r="A2" t="s">
        <v>1</v>
      </c>
      <c r="B2" s="2">
        <v>800</v>
      </c>
      <c r="D2" t="s">
        <v>5</v>
      </c>
      <c r="E2">
        <v>80</v>
      </c>
    </row>
    <row r="3" spans="1:9" x14ac:dyDescent="0.25">
      <c r="A3" t="s">
        <v>2</v>
      </c>
      <c r="B3" s="2">
        <v>60</v>
      </c>
      <c r="D3" t="s">
        <v>7</v>
      </c>
      <c r="E3">
        <f>B2*E1*E2</f>
        <v>1280000</v>
      </c>
    </row>
    <row r="4" spans="1:9" x14ac:dyDescent="0.25">
      <c r="A4" t="s">
        <v>3</v>
      </c>
      <c r="B4" s="3">
        <v>100000</v>
      </c>
    </row>
    <row r="5" spans="1:9" x14ac:dyDescent="0.25">
      <c r="A5" t="s">
        <v>6</v>
      </c>
      <c r="B5" s="2">
        <v>8</v>
      </c>
    </row>
    <row r="6" spans="1:9" x14ac:dyDescent="0.25">
      <c r="A6">
        <f>(E1*(E2^2)-(((6/8)*B1*(B2^2))/B3))</f>
        <v>-352000</v>
      </c>
    </row>
    <row r="7" spans="1:9" x14ac:dyDescent="0.25">
      <c r="A7">
        <f>(E1-E2)-((0.75*B1*B2)/B5)</f>
        <v>-4560</v>
      </c>
    </row>
    <row r="8" spans="1:9" x14ac:dyDescent="0.25">
      <c r="A8">
        <f>(E1*(E2^3)-((360*60*B1*(B2^3))/(384*B4)))</f>
        <v>-7040000</v>
      </c>
    </row>
    <row r="9" spans="1:9" x14ac:dyDescent="0.25">
      <c r="A9">
        <f>E2-12*E1</f>
        <v>-160</v>
      </c>
    </row>
    <row r="10" spans="1:9" x14ac:dyDescent="0.25">
      <c r="A10">
        <f>B2/20</f>
        <v>40</v>
      </c>
    </row>
    <row r="11" spans="1:9" x14ac:dyDescent="0.25">
      <c r="A11" t="s">
        <v>8</v>
      </c>
      <c r="B11" s="2">
        <v>2</v>
      </c>
      <c r="D11" s="1" t="s">
        <v>12</v>
      </c>
      <c r="E11" s="1"/>
      <c r="F11" s="1"/>
      <c r="G11" s="1"/>
      <c r="H11" s="1"/>
      <c r="I11" s="1"/>
    </row>
    <row r="12" spans="1:9" x14ac:dyDescent="0.25">
      <c r="A12" t="s">
        <v>9</v>
      </c>
      <c r="B12" s="2">
        <v>20</v>
      </c>
    </row>
    <row r="13" spans="1:9" x14ac:dyDescent="0.25">
      <c r="A13" t="s">
        <v>10</v>
      </c>
      <c r="B13" s="2">
        <v>20</v>
      </c>
    </row>
    <row r="14" spans="1:9" x14ac:dyDescent="0.25">
      <c r="A14" t="s">
        <v>11</v>
      </c>
      <c r="B14" s="2">
        <v>80</v>
      </c>
    </row>
  </sheetData>
  <customSheetViews>
    <customSheetView guid="{5E047470-7D77-426D-B94B-7966AE8B6508}">
      <selection activeCell="E3" sqref="E3"/>
      <pageMargins left="0.7" right="0.7" top="0.75" bottom="0.75" header="0.3" footer="0.3"/>
    </customSheetView>
  </customSheetViews>
  <mergeCells count="1">
    <mergeCell ref="D11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"/>
  <sheetViews>
    <sheetView workbookViewId="0">
      <selection activeCell="F23" sqref="F23"/>
    </sheetView>
  </sheetViews>
  <sheetFormatPr defaultRowHeight="15" x14ac:dyDescent="0.25"/>
  <cols>
    <col min="3" max="3" width="14.42578125" customWidth="1"/>
    <col min="4" max="4" width="11.140625" bestFit="1" customWidth="1"/>
  </cols>
  <sheetData>
    <row r="1" spans="1:5" x14ac:dyDescent="0.25">
      <c r="A1" t="s">
        <v>0</v>
      </c>
      <c r="B1" s="5">
        <v>50000</v>
      </c>
      <c r="D1" t="s">
        <v>5</v>
      </c>
      <c r="E1">
        <v>282.84271248428934</v>
      </c>
    </row>
    <row r="2" spans="1:5" x14ac:dyDescent="0.25">
      <c r="A2" t="s">
        <v>14</v>
      </c>
      <c r="B2" s="5">
        <v>2400</v>
      </c>
      <c r="D2" t="s">
        <v>13</v>
      </c>
      <c r="E2">
        <v>30</v>
      </c>
    </row>
    <row r="3" spans="1:5" x14ac:dyDescent="0.25">
      <c r="A3" t="s">
        <v>3</v>
      </c>
      <c r="B3" s="6">
        <v>2100000</v>
      </c>
    </row>
    <row r="4" spans="1:5" x14ac:dyDescent="0.25">
      <c r="A4" t="s">
        <v>4</v>
      </c>
      <c r="B4" s="5">
        <v>400</v>
      </c>
    </row>
    <row r="5" spans="1:5" x14ac:dyDescent="0.25">
      <c r="A5" t="s">
        <v>16</v>
      </c>
      <c r="B5" s="5">
        <v>1</v>
      </c>
    </row>
    <row r="6" spans="1:5" x14ac:dyDescent="0.25">
      <c r="A6" t="s">
        <v>17</v>
      </c>
      <c r="B6" s="5">
        <v>30</v>
      </c>
    </row>
    <row r="7" spans="1:5" x14ac:dyDescent="0.25">
      <c r="A7" t="s">
        <v>10</v>
      </c>
      <c r="B7" s="5">
        <v>80</v>
      </c>
    </row>
    <row r="8" spans="1:5" x14ac:dyDescent="0.25">
      <c r="A8" t="s">
        <v>11</v>
      </c>
      <c r="B8" s="5">
        <v>1600</v>
      </c>
    </row>
    <row r="9" spans="1:5" x14ac:dyDescent="0.25">
      <c r="A9" t="s">
        <v>20</v>
      </c>
      <c r="B9" s="9">
        <f>0.6*B2</f>
        <v>1440</v>
      </c>
    </row>
    <row r="10" spans="1:5" x14ac:dyDescent="0.25">
      <c r="A10" t="s">
        <v>21</v>
      </c>
      <c r="B10" s="9">
        <f>((0.5*B1)*SQRT((0.5*B4)^2+(E1)^2))/E1</f>
        <v>30618.621784440773</v>
      </c>
    </row>
    <row r="11" spans="1:5" x14ac:dyDescent="0.25">
      <c r="A11" t="s">
        <v>22</v>
      </c>
      <c r="B11" s="9">
        <f>B10/B9</f>
        <v>21.262931794750536</v>
      </c>
    </row>
    <row r="12" spans="1:5" x14ac:dyDescent="0.25">
      <c r="A12" t="s">
        <v>18</v>
      </c>
      <c r="B12" s="7">
        <f>2*((B3*E2*E1)/((0.5*B4)^2+(E1)^2))</f>
        <v>296984.84809496533</v>
      </c>
    </row>
    <row r="14" spans="1:5" x14ac:dyDescent="0.25">
      <c r="A14" t="s">
        <v>15</v>
      </c>
      <c r="B14" s="8">
        <f>(((B1)^2)*(((0.5*B4)^2)+((E1)^2))*SQRT((0.5*B4)^2+(E1)^2))/(4*((E1)^2)*E2*B3)</f>
        <v>5154.9131177645149</v>
      </c>
      <c r="C14" s="4" t="s">
        <v>19</v>
      </c>
      <c r="D14">
        <f>B14/(0.5*B1)</f>
        <v>0.20619652471058059</v>
      </c>
    </row>
    <row r="15" spans="1:5" x14ac:dyDescent="0.25">
      <c r="C15" t="s">
        <v>23</v>
      </c>
      <c r="D15">
        <f>(B9*E2)/(2*((B3*E2*E1)/((B4)^2+(E1)^2)))</f>
        <v>0.29092393282772117</v>
      </c>
    </row>
  </sheetData>
  <dataConsolidate link="1"/>
  <customSheetViews>
    <customSheetView guid="{5E047470-7D77-426D-B94B-7966AE8B6508}">
      <selection activeCell="I4" sqref="I4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66"/>
  <sheetViews>
    <sheetView workbookViewId="0">
      <selection activeCell="C5" sqref="C5:C10"/>
    </sheetView>
  </sheetViews>
  <sheetFormatPr defaultRowHeight="15" x14ac:dyDescent="0.25"/>
  <cols>
    <col min="3" max="3" width="10.85546875" customWidth="1"/>
    <col min="6" max="6" width="13" bestFit="1" customWidth="1"/>
    <col min="14" max="14" width="9.5703125" customWidth="1"/>
    <col min="23" max="23" width="9.42578125" bestFit="1" customWidth="1"/>
  </cols>
  <sheetData>
    <row r="1" spans="2:11" ht="14.25" customHeight="1" x14ac:dyDescent="0.25">
      <c r="C1" s="232" t="s">
        <v>77</v>
      </c>
      <c r="D1" s="232"/>
      <c r="E1" s="232"/>
      <c r="F1" s="232"/>
      <c r="G1" s="232"/>
      <c r="H1" s="232"/>
      <c r="I1" s="232"/>
      <c r="J1" s="232"/>
      <c r="K1" s="232"/>
    </row>
    <row r="2" spans="2:11" ht="14.25" customHeight="1" x14ac:dyDescent="0.25">
      <c r="C2" s="232"/>
      <c r="D2" s="232"/>
      <c r="E2" s="232"/>
      <c r="F2" s="232"/>
      <c r="G2" s="232"/>
      <c r="H2" s="232"/>
      <c r="I2" s="232"/>
      <c r="J2" s="232"/>
      <c r="K2" s="232"/>
    </row>
    <row r="4" spans="2:11" ht="15.75" thickBot="1" x14ac:dyDescent="0.3"/>
    <row r="5" spans="2:11" ht="15.75" thickBot="1" x14ac:dyDescent="0.3">
      <c r="B5" s="92" t="s">
        <v>40</v>
      </c>
      <c r="C5" s="76">
        <v>74.478197898796481</v>
      </c>
      <c r="D5" s="75">
        <v>0.5</v>
      </c>
      <c r="E5" s="75">
        <v>100</v>
      </c>
    </row>
    <row r="6" spans="2:11" ht="15.75" thickBot="1" x14ac:dyDescent="0.3">
      <c r="B6" s="92" t="s">
        <v>41</v>
      </c>
      <c r="C6" s="76">
        <v>100</v>
      </c>
      <c r="D6" s="75">
        <v>0.5</v>
      </c>
      <c r="E6" s="75">
        <v>100</v>
      </c>
    </row>
    <row r="7" spans="2:11" ht="15.75" thickBot="1" x14ac:dyDescent="0.3">
      <c r="B7" s="92" t="s">
        <v>42</v>
      </c>
      <c r="C7" s="76">
        <v>100</v>
      </c>
      <c r="D7" s="75">
        <v>0.5</v>
      </c>
      <c r="E7" s="75">
        <v>100</v>
      </c>
    </row>
    <row r="8" spans="2:11" ht="15.75" thickBot="1" x14ac:dyDescent="0.3">
      <c r="B8" s="93" t="s">
        <v>74</v>
      </c>
      <c r="C8" s="76">
        <v>-20.424220865211133</v>
      </c>
      <c r="D8" s="20"/>
      <c r="E8" s="20"/>
    </row>
    <row r="9" spans="2:11" ht="15.75" thickBot="1" x14ac:dyDescent="0.3">
      <c r="B9" s="93" t="s">
        <v>75</v>
      </c>
      <c r="C9" s="76">
        <v>-10.212110441932859</v>
      </c>
      <c r="D9" s="20"/>
      <c r="E9" s="20"/>
    </row>
    <row r="10" spans="2:11" ht="15.75" thickBot="1" x14ac:dyDescent="0.3">
      <c r="B10" s="93" t="s">
        <v>76</v>
      </c>
      <c r="C10" s="76">
        <v>36.516417660995451</v>
      </c>
      <c r="D10" s="20"/>
      <c r="E10" s="20"/>
    </row>
    <row r="13" spans="2:11" ht="15.75" thickBot="1" x14ac:dyDescent="0.3"/>
    <row r="14" spans="2:11" ht="15.75" thickBot="1" x14ac:dyDescent="0.3">
      <c r="B14" s="94" t="s">
        <v>1</v>
      </c>
      <c r="C14" s="75">
        <v>4</v>
      </c>
    </row>
    <row r="15" spans="2:11" ht="15.75" thickBot="1" x14ac:dyDescent="0.3">
      <c r="B15" s="94" t="s">
        <v>5</v>
      </c>
      <c r="C15" s="75">
        <v>3</v>
      </c>
    </row>
    <row r="18" spans="1:30" ht="15.75" thickBot="1" x14ac:dyDescent="0.3"/>
    <row r="19" spans="1:30" x14ac:dyDescent="0.25">
      <c r="B19" s="215" t="s">
        <v>43</v>
      </c>
      <c r="C19" s="217" t="s">
        <v>44</v>
      </c>
      <c r="D19" s="219" t="s">
        <v>45</v>
      </c>
      <c r="E19" s="220"/>
      <c r="F19" s="219" t="s">
        <v>46</v>
      </c>
      <c r="G19" s="220"/>
      <c r="H19" s="217" t="s">
        <v>38</v>
      </c>
      <c r="I19" s="229" t="s">
        <v>47</v>
      </c>
      <c r="J19" s="217" t="s">
        <v>48</v>
      </c>
      <c r="K19" s="235" t="s">
        <v>49</v>
      </c>
      <c r="L19" s="221" t="s">
        <v>50</v>
      </c>
      <c r="M19" s="87" t="s">
        <v>51</v>
      </c>
      <c r="N19" s="88">
        <v>1.667</v>
      </c>
      <c r="O19" s="223" t="s">
        <v>52</v>
      </c>
      <c r="Q19" s="79" t="s">
        <v>65</v>
      </c>
      <c r="R19" s="80" t="s">
        <v>66</v>
      </c>
      <c r="S19" s="80" t="s">
        <v>67</v>
      </c>
      <c r="T19" s="81" t="s">
        <v>68</v>
      </c>
      <c r="U19" s="82" t="s">
        <v>69</v>
      </c>
      <c r="V19" s="83" t="s">
        <v>70</v>
      </c>
      <c r="W19" s="84" t="s">
        <v>71</v>
      </c>
    </row>
    <row r="20" spans="1:30" x14ac:dyDescent="0.25">
      <c r="B20" s="216"/>
      <c r="C20" s="218"/>
      <c r="D20" s="89" t="s">
        <v>53</v>
      </c>
      <c r="E20" s="89" t="s">
        <v>54</v>
      </c>
      <c r="F20" s="89" t="s">
        <v>53</v>
      </c>
      <c r="G20" s="89" t="s">
        <v>54</v>
      </c>
      <c r="H20" s="218"/>
      <c r="I20" s="230"/>
      <c r="J20" s="218"/>
      <c r="K20" s="236"/>
      <c r="L20" s="222"/>
      <c r="M20" s="90" t="str">
        <f>O18&amp;J19</f>
        <v>Fy</v>
      </c>
      <c r="N20" s="91"/>
      <c r="O20" s="224"/>
      <c r="Q20" s="59">
        <v>1</v>
      </c>
      <c r="R20" s="21">
        <v>0</v>
      </c>
      <c r="S20" s="21">
        <v>0</v>
      </c>
      <c r="T20" s="60">
        <v>0</v>
      </c>
      <c r="U20" s="61">
        <v>0</v>
      </c>
      <c r="V20" s="62">
        <v>0</v>
      </c>
      <c r="W20" s="25">
        <v>0</v>
      </c>
    </row>
    <row r="21" spans="1:30" x14ac:dyDescent="0.25">
      <c r="B21" s="85">
        <v>1</v>
      </c>
      <c r="C21" s="47">
        <f>C14</f>
        <v>4</v>
      </c>
      <c r="D21" s="21">
        <v>0</v>
      </c>
      <c r="E21" s="21">
        <v>0</v>
      </c>
      <c r="F21" s="21">
        <f>C21</f>
        <v>4</v>
      </c>
      <c r="G21" s="21">
        <v>0</v>
      </c>
      <c r="H21" s="95">
        <f>C5</f>
        <v>74.478197898796481</v>
      </c>
      <c r="I21" s="23">
        <v>2100000</v>
      </c>
      <c r="J21" s="22">
        <v>2400</v>
      </c>
      <c r="K21" s="21">
        <f>(H28*M27+I28*M28+J28*M29+K28*M30)/C5</f>
        <v>-107227.15954235845</v>
      </c>
      <c r="L21" s="24">
        <f>ABS(K21)/C5</f>
        <v>1439.7120575884821</v>
      </c>
      <c r="M21" s="21">
        <f>J21*(1/N19)</f>
        <v>1439.7120575884821</v>
      </c>
      <c r="N21" s="24" t="str">
        <f>IF(L21&gt;M21,"over stress","")</f>
        <v/>
      </c>
      <c r="O21" s="25">
        <f>ROUND(L21/M21,2)</f>
        <v>1</v>
      </c>
      <c r="Q21" s="59">
        <v>2</v>
      </c>
      <c r="R21" s="21">
        <f>C21</f>
        <v>4</v>
      </c>
      <c r="S21" s="21">
        <v>0</v>
      </c>
      <c r="T21" s="60">
        <v>0</v>
      </c>
      <c r="U21" s="61">
        <v>0</v>
      </c>
      <c r="V21" s="63">
        <f>C8</f>
        <v>-20.424220865211133</v>
      </c>
      <c r="W21" s="78">
        <v>0</v>
      </c>
    </row>
    <row r="22" spans="1:30" ht="15.75" thickBot="1" x14ac:dyDescent="0.3">
      <c r="B22" s="85">
        <v>2</v>
      </c>
      <c r="C22" s="26">
        <f>SQRT((0.5*C14)^2+(C15)^2)</f>
        <v>3.6055512754639891</v>
      </c>
      <c r="D22" s="21">
        <f>C21</f>
        <v>4</v>
      </c>
      <c r="E22" s="21">
        <v>0</v>
      </c>
      <c r="F22" s="21">
        <f>C21*0.5</f>
        <v>2</v>
      </c>
      <c r="G22" s="21">
        <f>C15</f>
        <v>3</v>
      </c>
      <c r="H22" s="95">
        <f>C6</f>
        <v>100</v>
      </c>
      <c r="I22" s="23">
        <v>2100000</v>
      </c>
      <c r="J22" s="22">
        <v>2400</v>
      </c>
      <c r="K22" s="21">
        <f>(H34*M33+I34*M34+J34*M35+K34*M36)/C6</f>
        <v>143971.20575884814</v>
      </c>
      <c r="L22" s="24">
        <f>ABS(K22)/C6</f>
        <v>1439.7120575884815</v>
      </c>
      <c r="M22" s="21">
        <f>J22*(1/N19)</f>
        <v>1439.7120575884821</v>
      </c>
      <c r="N22" s="24" t="str">
        <f>IF(L22&gt;M22,"over stress","")</f>
        <v/>
      </c>
      <c r="O22" s="25">
        <f>ROUND(L22/M22,2)</f>
        <v>1</v>
      </c>
      <c r="Q22" s="64">
        <v>3</v>
      </c>
      <c r="R22" s="65">
        <f>R21/0.5</f>
        <v>8</v>
      </c>
      <c r="S22" s="65">
        <f>C15</f>
        <v>3</v>
      </c>
      <c r="T22" s="66">
        <v>0</v>
      </c>
      <c r="U22" s="67">
        <v>-100</v>
      </c>
      <c r="V22" s="68">
        <f>C9</f>
        <v>-10.212110441932859</v>
      </c>
      <c r="W22" s="69">
        <f>C10</f>
        <v>36.516417660995451</v>
      </c>
    </row>
    <row r="23" spans="1:30" ht="15.75" thickBot="1" x14ac:dyDescent="0.3">
      <c r="B23" s="86">
        <v>3</v>
      </c>
      <c r="C23" s="70">
        <f>C22</f>
        <v>3.6055512754639891</v>
      </c>
      <c r="D23" s="65">
        <f>F22</f>
        <v>2</v>
      </c>
      <c r="E23" s="65">
        <f>C15</f>
        <v>3</v>
      </c>
      <c r="F23" s="65">
        <v>0</v>
      </c>
      <c r="G23" s="65">
        <v>0</v>
      </c>
      <c r="H23" s="96">
        <f>C7</f>
        <v>100</v>
      </c>
      <c r="I23" s="72">
        <v>2100000</v>
      </c>
      <c r="J23" s="71">
        <v>2400</v>
      </c>
      <c r="K23" s="65">
        <f>(H40*M39+I40*M40+J40*M41+K40*M42)/C7</f>
        <v>143971.20569857949</v>
      </c>
      <c r="L23" s="73">
        <f>ABS(K23)/C7</f>
        <v>1439.712056985795</v>
      </c>
      <c r="M23" s="65">
        <f>J23*(1/N19)</f>
        <v>1439.7120575884821</v>
      </c>
      <c r="N23" s="77" t="str">
        <f>IF(L23&gt;M23,"over stress","")</f>
        <v/>
      </c>
      <c r="O23" s="74">
        <f>ROUND(L23/M23,2)</f>
        <v>1</v>
      </c>
    </row>
    <row r="24" spans="1:30" x14ac:dyDescent="0.25">
      <c r="B24" s="53"/>
      <c r="C24" s="54"/>
      <c r="D24" s="51"/>
      <c r="E24" s="51"/>
      <c r="F24" s="51"/>
      <c r="G24" s="51"/>
      <c r="H24" s="55"/>
      <c r="I24" s="55"/>
      <c r="J24" s="55"/>
      <c r="K24" s="51"/>
      <c r="L24" s="51"/>
      <c r="M24" s="51"/>
      <c r="N24" s="51"/>
      <c r="O24" s="51"/>
    </row>
    <row r="25" spans="1:30" ht="15.75" thickBot="1" x14ac:dyDescent="0.3">
      <c r="A25">
        <v>1</v>
      </c>
      <c r="B25" s="32">
        <v>2</v>
      </c>
      <c r="C25">
        <v>3</v>
      </c>
      <c r="D25">
        <v>4</v>
      </c>
      <c r="F25" s="20"/>
    </row>
    <row r="26" spans="1:30" x14ac:dyDescent="0.25">
      <c r="A26" s="27" t="s">
        <v>55</v>
      </c>
      <c r="B26" s="28">
        <f>(F21-D21)/C21</f>
        <v>1</v>
      </c>
      <c r="C26" s="29" t="s">
        <v>56</v>
      </c>
      <c r="D26" s="28">
        <f>(G21-E21)/C21</f>
        <v>0</v>
      </c>
      <c r="E26" s="30">
        <f>(C5*I21)/(C21*100)</f>
        <v>391010.53896868153</v>
      </c>
      <c r="F26" s="31"/>
      <c r="G26" s="31"/>
      <c r="H26" s="31"/>
      <c r="I26" s="31"/>
      <c r="J26" s="31"/>
      <c r="K26" s="31"/>
      <c r="L26" s="31"/>
      <c r="M26" s="31"/>
      <c r="N26" s="32"/>
      <c r="O26" s="31"/>
    </row>
    <row r="27" spans="1:30" x14ac:dyDescent="0.25">
      <c r="A27" s="33">
        <f>E26*(B26^2)</f>
        <v>391010.53896868153</v>
      </c>
      <c r="B27" s="34">
        <f>E26*D26*B26</f>
        <v>0</v>
      </c>
      <c r="C27" s="34">
        <f>-A27</f>
        <v>-391010.53896868153</v>
      </c>
      <c r="D27" s="34">
        <f>-B26*D26*E26</f>
        <v>0</v>
      </c>
      <c r="E27" s="35"/>
      <c r="F27" s="36">
        <v>1</v>
      </c>
      <c r="G27" s="31"/>
      <c r="H27" s="37">
        <v>1</v>
      </c>
      <c r="I27" s="37">
        <v>2</v>
      </c>
      <c r="J27" s="37">
        <v>3</v>
      </c>
      <c r="K27" s="37">
        <v>4</v>
      </c>
      <c r="L27" s="35"/>
      <c r="M27" s="38">
        <v>0</v>
      </c>
      <c r="N27" s="39"/>
      <c r="O27" s="31"/>
      <c r="AA27">
        <v>101</v>
      </c>
      <c r="AB27">
        <v>102</v>
      </c>
      <c r="AC27">
        <v>103</v>
      </c>
      <c r="AD27">
        <v>104</v>
      </c>
    </row>
    <row r="28" spans="1:30" ht="15.75" x14ac:dyDescent="0.25">
      <c r="A28" s="33">
        <f>E26*B26*D26</f>
        <v>0</v>
      </c>
      <c r="B28" s="34">
        <f>E26*(D26^2)</f>
        <v>0</v>
      </c>
      <c r="C28" s="34">
        <f>-B26*D26*E26</f>
        <v>0</v>
      </c>
      <c r="D28" s="34">
        <f>-(D26^2)*E26</f>
        <v>0</v>
      </c>
      <c r="E28" s="35">
        <v>1</v>
      </c>
      <c r="F28" s="36">
        <v>2</v>
      </c>
      <c r="G28" s="40" t="s">
        <v>57</v>
      </c>
      <c r="H28" s="37">
        <f>-((C5*I21)/(C21*100))*(B26^2)</f>
        <v>-391010.53896868153</v>
      </c>
      <c r="I28" s="37">
        <v>0</v>
      </c>
      <c r="J28" s="37">
        <f>B26*((C5*I21)/(C21*100))*(B26^2)</f>
        <v>391010.53896868153</v>
      </c>
      <c r="K28" s="41">
        <f>D26*E26</f>
        <v>0</v>
      </c>
      <c r="L28" s="35"/>
      <c r="M28" s="38">
        <v>0</v>
      </c>
      <c r="N28" s="42" t="s">
        <v>58</v>
      </c>
      <c r="O28" s="43">
        <f>INDEX(MMULT(H28:K28,M27:M30),1,1)</f>
        <v>-7986085.6085215965</v>
      </c>
      <c r="R28" s="20"/>
      <c r="S28" s="20"/>
      <c r="AA28">
        <v>201</v>
      </c>
      <c r="AB28">
        <v>202</v>
      </c>
      <c r="AC28">
        <v>203</v>
      </c>
      <c r="AD28">
        <v>204</v>
      </c>
    </row>
    <row r="29" spans="1:30" x14ac:dyDescent="0.25">
      <c r="A29" s="33">
        <f>-(B26^2)*E26</f>
        <v>-391010.53896868153</v>
      </c>
      <c r="B29" s="34">
        <f>-B26*D26*E26</f>
        <v>0</v>
      </c>
      <c r="C29" s="34">
        <f>E26*(B26^2)</f>
        <v>391010.53896868153</v>
      </c>
      <c r="D29" s="34">
        <f>B26*D26*E26</f>
        <v>0</v>
      </c>
      <c r="E29" s="35"/>
      <c r="F29" s="36">
        <v>3</v>
      </c>
      <c r="G29" s="31"/>
      <c r="H29" s="31"/>
      <c r="I29" s="31"/>
      <c r="J29" s="31"/>
      <c r="K29" s="31"/>
      <c r="L29" s="35"/>
      <c r="M29" s="38">
        <f>C8</f>
        <v>-20.424220865211133</v>
      </c>
      <c r="N29" s="39"/>
      <c r="O29" s="34"/>
      <c r="R29" s="20"/>
      <c r="S29" s="20"/>
      <c r="AA29">
        <v>301</v>
      </c>
      <c r="AB29">
        <v>302</v>
      </c>
      <c r="AC29">
        <v>303</v>
      </c>
      <c r="AD29">
        <v>304</v>
      </c>
    </row>
    <row r="30" spans="1:30" ht="15.75" thickBot="1" x14ac:dyDescent="0.3">
      <c r="A30" s="44">
        <f>-B26*D26*E26</f>
        <v>0</v>
      </c>
      <c r="B30" s="45">
        <f>-(D26^2)*E26</f>
        <v>0</v>
      </c>
      <c r="C30" s="45">
        <f>B26*D26*E26</f>
        <v>0</v>
      </c>
      <c r="D30" s="45">
        <f>E26*(D26^2)</f>
        <v>0</v>
      </c>
      <c r="E30" s="46"/>
      <c r="F30" s="36">
        <v>4</v>
      </c>
      <c r="G30" s="31"/>
      <c r="H30" s="31"/>
      <c r="I30" s="31"/>
      <c r="J30" s="31"/>
      <c r="K30" s="31"/>
      <c r="L30" s="35"/>
      <c r="M30" s="38">
        <v>0</v>
      </c>
      <c r="N30" s="39"/>
      <c r="O30" s="34"/>
      <c r="R30" s="20"/>
      <c r="S30" s="20"/>
      <c r="AA30">
        <v>401</v>
      </c>
      <c r="AB30">
        <v>402</v>
      </c>
      <c r="AC30">
        <v>403</v>
      </c>
      <c r="AD30">
        <v>404</v>
      </c>
    </row>
    <row r="31" spans="1:30" ht="15.75" thickBot="1" x14ac:dyDescent="0.3">
      <c r="A31">
        <v>3</v>
      </c>
      <c r="B31">
        <v>4</v>
      </c>
      <c r="C31">
        <v>5</v>
      </c>
      <c r="D31">
        <v>6</v>
      </c>
    </row>
    <row r="32" spans="1:30" x14ac:dyDescent="0.25">
      <c r="A32" s="27" t="s">
        <v>55</v>
      </c>
      <c r="B32" s="28">
        <f>(F22-D22)/C22</f>
        <v>-0.55470019622522915</v>
      </c>
      <c r="C32" s="29" t="s">
        <v>56</v>
      </c>
      <c r="D32" s="28">
        <f>(G22-E22)/C22</f>
        <v>0.83205029433784372</v>
      </c>
      <c r="E32" s="30">
        <f>(I22*C6)/(C22*100)</f>
        <v>582435.20603649062</v>
      </c>
      <c r="F32" s="31"/>
      <c r="G32" s="31"/>
      <c r="H32" s="31"/>
      <c r="I32" s="31"/>
      <c r="J32" s="31"/>
      <c r="K32" s="31"/>
      <c r="L32" s="31"/>
      <c r="M32" s="31"/>
      <c r="N32" s="32"/>
      <c r="O32" s="31"/>
    </row>
    <row r="33" spans="1:30" x14ac:dyDescent="0.25">
      <c r="A33" s="33">
        <f>E32*(B32^2)</f>
        <v>179210.83262661251</v>
      </c>
      <c r="B33" s="34">
        <f>E32*D32*B32</f>
        <v>-268816.24893991876</v>
      </c>
      <c r="C33" s="34">
        <f>-A33</f>
        <v>-179210.83262661251</v>
      </c>
      <c r="D33" s="34">
        <f>-B32*D32*E32</f>
        <v>268816.24893991876</v>
      </c>
      <c r="E33" s="35"/>
      <c r="F33" s="36">
        <v>3</v>
      </c>
      <c r="G33" s="31"/>
      <c r="H33" s="37">
        <v>3</v>
      </c>
      <c r="I33" s="37">
        <v>4</v>
      </c>
      <c r="J33" s="37">
        <v>5</v>
      </c>
      <c r="K33" s="37">
        <v>6</v>
      </c>
      <c r="L33" s="35"/>
      <c r="M33" s="38">
        <f>C8</f>
        <v>-20.424220865211133</v>
      </c>
      <c r="N33" s="39"/>
      <c r="O33" s="31"/>
      <c r="AA33">
        <v>303</v>
      </c>
      <c r="AB33">
        <v>304</v>
      </c>
      <c r="AC33">
        <v>305</v>
      </c>
      <c r="AD33">
        <v>306</v>
      </c>
    </row>
    <row r="34" spans="1:30" ht="15.75" x14ac:dyDescent="0.25">
      <c r="A34" s="33">
        <f>E32*B32*D32</f>
        <v>-268816.24893991876</v>
      </c>
      <c r="B34" s="34">
        <f>E32*(D32^2)</f>
        <v>403224.37340987817</v>
      </c>
      <c r="C34" s="34">
        <f>-B32*D32*E32</f>
        <v>268816.24893991876</v>
      </c>
      <c r="D34" s="34">
        <f>-(D32^2)*E32</f>
        <v>-403224.37340987817</v>
      </c>
      <c r="E34" s="35"/>
      <c r="F34" s="36">
        <v>4</v>
      </c>
      <c r="G34" s="40" t="s">
        <v>57</v>
      </c>
      <c r="H34" s="37">
        <f>-B32*((I22*C6)/(C22*100))</f>
        <v>323076.92307692312</v>
      </c>
      <c r="I34" s="37">
        <f>-D32*((I22*C6)/(C22*100))</f>
        <v>-484615.38461538468</v>
      </c>
      <c r="J34" s="37">
        <f>B32*((I22*C6)/(C22*100))</f>
        <v>-323076.92307692312</v>
      </c>
      <c r="K34" s="41">
        <f>D32*((I22*C6)/(C22*100))</f>
        <v>484615.38461538468</v>
      </c>
      <c r="L34" s="35"/>
      <c r="M34" s="38">
        <v>0</v>
      </c>
      <c r="N34" s="42" t="s">
        <v>58</v>
      </c>
      <c r="O34" s="43">
        <f>INDEX(MMULT(H34:K34,M33:M36),1,1)</f>
        <v>14397120.575884815</v>
      </c>
      <c r="AA34">
        <v>403</v>
      </c>
      <c r="AB34">
        <v>404</v>
      </c>
      <c r="AC34">
        <v>405</v>
      </c>
      <c r="AD34">
        <v>406</v>
      </c>
    </row>
    <row r="35" spans="1:30" x14ac:dyDescent="0.25">
      <c r="A35" s="33">
        <f>-(B32^2)*E32</f>
        <v>-179210.83262661251</v>
      </c>
      <c r="B35" s="34">
        <f>-B32*D32*E32</f>
        <v>268816.24893991876</v>
      </c>
      <c r="C35" s="34">
        <f>E32*(B32^2)</f>
        <v>179210.83262661251</v>
      </c>
      <c r="D35" s="34">
        <f>B32*D32*E32</f>
        <v>-268816.24893991876</v>
      </c>
      <c r="E35" s="35"/>
      <c r="F35" s="36">
        <v>5</v>
      </c>
      <c r="G35" s="31"/>
      <c r="H35" s="31"/>
      <c r="I35" s="31"/>
      <c r="J35" s="31"/>
      <c r="K35" s="31"/>
      <c r="L35" s="35"/>
      <c r="M35" s="38">
        <f>C9</f>
        <v>-10.212110441932859</v>
      </c>
      <c r="N35" s="39"/>
      <c r="O35" s="34"/>
      <c r="AA35">
        <v>503</v>
      </c>
      <c r="AB35">
        <v>504</v>
      </c>
      <c r="AC35">
        <v>505</v>
      </c>
      <c r="AD35">
        <v>506</v>
      </c>
    </row>
    <row r="36" spans="1:30" ht="15.75" thickBot="1" x14ac:dyDescent="0.3">
      <c r="A36" s="44">
        <f>-B32*D32*E32</f>
        <v>268816.24893991876</v>
      </c>
      <c r="B36" s="45">
        <f>-(D32^2)*E32</f>
        <v>-403224.37340987817</v>
      </c>
      <c r="C36" s="45">
        <f>B32*D32*E32</f>
        <v>-268816.24893991876</v>
      </c>
      <c r="D36" s="45">
        <f>E32*(D32^2)</f>
        <v>403224.37340987817</v>
      </c>
      <c r="E36" s="46"/>
      <c r="F36" s="36">
        <v>6</v>
      </c>
      <c r="G36" s="31"/>
      <c r="H36" s="31"/>
      <c r="I36" s="31"/>
      <c r="J36" s="31"/>
      <c r="K36" s="31"/>
      <c r="L36" s="35"/>
      <c r="M36" s="38">
        <f>C10</f>
        <v>36.516417660995451</v>
      </c>
      <c r="N36" s="39"/>
      <c r="O36" s="34"/>
      <c r="AA36">
        <v>603</v>
      </c>
      <c r="AB36">
        <v>604</v>
      </c>
      <c r="AC36">
        <v>605</v>
      </c>
      <c r="AD36">
        <v>606</v>
      </c>
    </row>
    <row r="37" spans="1:30" ht="15.75" thickBot="1" x14ac:dyDescent="0.3">
      <c r="A37">
        <v>5</v>
      </c>
      <c r="B37">
        <v>6</v>
      </c>
      <c r="C37">
        <v>1</v>
      </c>
      <c r="D37">
        <v>2</v>
      </c>
    </row>
    <row r="38" spans="1:30" x14ac:dyDescent="0.25">
      <c r="A38" s="27" t="s">
        <v>55</v>
      </c>
      <c r="B38" s="28">
        <f>(F23-D23)/C23</f>
        <v>-0.55470019622522915</v>
      </c>
      <c r="C38" s="29" t="s">
        <v>56</v>
      </c>
      <c r="D38" s="28">
        <f>(G23-E23)/C23</f>
        <v>-0.83205029433784372</v>
      </c>
      <c r="E38" s="30">
        <f>(C7*I23)/(C23*100)</f>
        <v>582435.20603649062</v>
      </c>
      <c r="F38" s="31"/>
      <c r="G38" s="31"/>
      <c r="H38" s="31"/>
      <c r="I38" s="31"/>
      <c r="J38" s="31"/>
      <c r="K38" s="31"/>
      <c r="L38" s="31"/>
      <c r="M38" s="31"/>
      <c r="N38" s="32"/>
      <c r="O38" s="31"/>
    </row>
    <row r="39" spans="1:30" x14ac:dyDescent="0.25">
      <c r="A39" s="33">
        <f>E38*(B38^2)</f>
        <v>179210.83262661251</v>
      </c>
      <c r="B39" s="34">
        <f>E38*D38*B38</f>
        <v>268816.24893991876</v>
      </c>
      <c r="C39" s="34">
        <f>-A39</f>
        <v>-179210.83262661251</v>
      </c>
      <c r="D39" s="34">
        <f>-B38*D38*E38</f>
        <v>-268816.24893991876</v>
      </c>
      <c r="E39" s="35"/>
      <c r="F39" s="36">
        <v>5</v>
      </c>
      <c r="G39" s="31"/>
      <c r="H39" s="37">
        <v>5</v>
      </c>
      <c r="I39" s="37">
        <v>6</v>
      </c>
      <c r="J39" s="37">
        <v>1</v>
      </c>
      <c r="K39" s="37">
        <v>2</v>
      </c>
      <c r="L39" s="35"/>
      <c r="M39" s="38">
        <f>C9</f>
        <v>-10.212110441932859</v>
      </c>
      <c r="N39" s="39"/>
      <c r="O39" s="31"/>
      <c r="AA39">
        <v>505</v>
      </c>
      <c r="AB39">
        <v>506</v>
      </c>
      <c r="AC39">
        <v>501</v>
      </c>
      <c r="AD39">
        <v>502</v>
      </c>
    </row>
    <row r="40" spans="1:30" ht="15.75" x14ac:dyDescent="0.25">
      <c r="A40" s="33">
        <f>E38*B38*D38</f>
        <v>268816.24893991876</v>
      </c>
      <c r="B40" s="34">
        <f>E38*(D38^2)</f>
        <v>403224.37340987817</v>
      </c>
      <c r="C40" s="34">
        <f>-B38*D38*E38</f>
        <v>-268816.24893991876</v>
      </c>
      <c r="D40" s="34">
        <f>-(D38^2)*E38</f>
        <v>-403224.37340987817</v>
      </c>
      <c r="E40" s="35"/>
      <c r="F40" s="36">
        <v>6</v>
      </c>
      <c r="G40" s="40" t="s">
        <v>57</v>
      </c>
      <c r="H40" s="37">
        <f>-B38*(C7*I23)/(C23*100)</f>
        <v>323076.92307692306</v>
      </c>
      <c r="I40" s="37">
        <f>-D38*(C7*I23)/(C23*100)</f>
        <v>484615.38461538462</v>
      </c>
      <c r="J40" s="37">
        <f>B38*(C7*I23)/(C23*100)</f>
        <v>-323076.92307692306</v>
      </c>
      <c r="K40" s="41">
        <f>D38*(C7*I23)/(C23*100)</f>
        <v>-484615.38461538462</v>
      </c>
      <c r="L40" s="35"/>
      <c r="M40" s="38">
        <f>C10</f>
        <v>36.516417660995451</v>
      </c>
      <c r="N40" s="42" t="s">
        <v>58</v>
      </c>
      <c r="O40" s="43">
        <f>INDEX(MMULT(H40:K40,M39:M42),1,1)</f>
        <v>14397120.569857949</v>
      </c>
      <c r="AA40">
        <v>605</v>
      </c>
      <c r="AB40">
        <v>606</v>
      </c>
      <c r="AC40">
        <v>601</v>
      </c>
      <c r="AD40">
        <v>602</v>
      </c>
    </row>
    <row r="41" spans="1:30" x14ac:dyDescent="0.25">
      <c r="A41" s="33">
        <f>-(B38^2)*E38</f>
        <v>-179210.83262661251</v>
      </c>
      <c r="B41" s="34">
        <f>-B38*D38*E38</f>
        <v>-268816.24893991876</v>
      </c>
      <c r="C41" s="34">
        <f>E38*(B38^2)</f>
        <v>179210.83262661251</v>
      </c>
      <c r="D41" s="34">
        <f>B38*D38*E38</f>
        <v>268816.24893991876</v>
      </c>
      <c r="E41" s="35"/>
      <c r="F41" s="36">
        <v>1</v>
      </c>
      <c r="G41" s="31"/>
      <c r="H41" s="31"/>
      <c r="I41" s="31"/>
      <c r="J41" s="31"/>
      <c r="K41" s="31"/>
      <c r="L41" s="35"/>
      <c r="M41" s="38">
        <v>0</v>
      </c>
      <c r="N41" s="39"/>
      <c r="O41" s="34"/>
      <c r="AA41">
        <v>105</v>
      </c>
      <c r="AB41">
        <v>106</v>
      </c>
      <c r="AC41">
        <v>101</v>
      </c>
      <c r="AD41">
        <v>102</v>
      </c>
    </row>
    <row r="42" spans="1:30" ht="15.75" thickBot="1" x14ac:dyDescent="0.3">
      <c r="A42" s="44">
        <f>-B38*D38*E38</f>
        <v>-268816.24893991876</v>
      </c>
      <c r="B42" s="45">
        <f>-(D38^2)*E38</f>
        <v>-403224.37340987817</v>
      </c>
      <c r="C42" s="45">
        <f>B38*D38*E38</f>
        <v>268816.24893991876</v>
      </c>
      <c r="D42" s="45">
        <f>E38*(D38^2)</f>
        <v>403224.37340987817</v>
      </c>
      <c r="E42" s="46"/>
      <c r="F42" s="36">
        <v>2</v>
      </c>
      <c r="G42" s="31"/>
      <c r="H42" s="31"/>
      <c r="I42" s="31"/>
      <c r="J42" s="31"/>
      <c r="K42" s="31"/>
      <c r="L42" s="35"/>
      <c r="M42" s="38">
        <v>0</v>
      </c>
      <c r="N42" s="39"/>
      <c r="O42" s="34"/>
      <c r="AA42">
        <v>205</v>
      </c>
      <c r="AB42">
        <v>206</v>
      </c>
      <c r="AC42">
        <v>201</v>
      </c>
      <c r="AD42">
        <v>202</v>
      </c>
    </row>
    <row r="45" spans="1:30" x14ac:dyDescent="0.25">
      <c r="D45" s="20"/>
      <c r="E45" s="20"/>
      <c r="F45" s="20"/>
      <c r="G45" s="20"/>
      <c r="H45" s="20"/>
      <c r="I45" s="20"/>
      <c r="J45" s="20"/>
      <c r="K45" s="20"/>
    </row>
    <row r="46" spans="1:30" x14ac:dyDescent="0.25">
      <c r="D46" s="20"/>
      <c r="E46" s="51">
        <v>1</v>
      </c>
      <c r="F46" s="51">
        <v>2</v>
      </c>
      <c r="G46" s="51">
        <v>4</v>
      </c>
      <c r="H46" s="51">
        <v>3</v>
      </c>
      <c r="I46" s="51">
        <v>5</v>
      </c>
      <c r="J46" s="51">
        <v>6</v>
      </c>
      <c r="K46" s="51"/>
      <c r="L46" s="20"/>
    </row>
    <row r="47" spans="1:30" x14ac:dyDescent="0.25">
      <c r="D47" s="49">
        <v>1</v>
      </c>
      <c r="E47" s="37">
        <f t="shared" ref="E47:J47" si="0">SUMIF($AA$27:$AD$42,$D$47*100+E46,$A$27:$E$42)</f>
        <v>570221.37159529398</v>
      </c>
      <c r="F47" s="37">
        <f t="shared" si="0"/>
        <v>268816.24893991876</v>
      </c>
      <c r="G47" s="41">
        <f t="shared" si="0"/>
        <v>0</v>
      </c>
      <c r="H47" s="37">
        <f t="shared" si="0"/>
        <v>-391010.53896868153</v>
      </c>
      <c r="I47" s="37">
        <f t="shared" si="0"/>
        <v>-179210.83262661251</v>
      </c>
      <c r="J47" s="41">
        <f t="shared" si="0"/>
        <v>-268816.24893991876</v>
      </c>
      <c r="K47" s="57"/>
      <c r="L47" s="34">
        <v>0</v>
      </c>
      <c r="M47" s="58"/>
      <c r="N47" s="56" t="s">
        <v>59</v>
      </c>
    </row>
    <row r="48" spans="1:30" x14ac:dyDescent="0.25">
      <c r="D48" s="49">
        <v>2</v>
      </c>
      <c r="E48" s="37">
        <f t="shared" ref="E48:J48" si="1">SUMIF($AA$27:$AD$42,$D$48*100+E46,$A$27:$E$42)</f>
        <v>268816.24893991876</v>
      </c>
      <c r="F48" s="37">
        <f t="shared" si="1"/>
        <v>403224.37340987817</v>
      </c>
      <c r="G48" s="41">
        <f t="shared" si="1"/>
        <v>0</v>
      </c>
      <c r="H48" s="37">
        <f t="shared" si="1"/>
        <v>0</v>
      </c>
      <c r="I48" s="37">
        <f t="shared" si="1"/>
        <v>-268816.24893991876</v>
      </c>
      <c r="J48" s="41">
        <f t="shared" si="1"/>
        <v>-403224.37340987817</v>
      </c>
      <c r="K48" s="57"/>
      <c r="L48" s="34">
        <v>0</v>
      </c>
      <c r="M48" s="58"/>
      <c r="N48" s="56" t="s">
        <v>60</v>
      </c>
    </row>
    <row r="49" spans="3:14" ht="15.75" thickBot="1" x14ac:dyDescent="0.3">
      <c r="D49" s="49">
        <v>4</v>
      </c>
      <c r="E49" s="48">
        <f t="shared" ref="E49:J49" si="2">SUMIF($AA$27:$AD$42,$D$49*100+E46,$A$27:$E$42)</f>
        <v>0</v>
      </c>
      <c r="F49" s="48">
        <f t="shared" si="2"/>
        <v>0</v>
      </c>
      <c r="G49" s="50">
        <f t="shared" si="2"/>
        <v>403224.37340987817</v>
      </c>
      <c r="H49" s="48">
        <f t="shared" si="2"/>
        <v>-268816.24893991876</v>
      </c>
      <c r="I49" s="48">
        <f t="shared" si="2"/>
        <v>268816.24893991876</v>
      </c>
      <c r="J49" s="50">
        <f t="shared" si="2"/>
        <v>-403224.37340987817</v>
      </c>
      <c r="K49" s="57"/>
      <c r="L49" s="34">
        <v>0</v>
      </c>
      <c r="M49" s="58"/>
      <c r="N49" s="56" t="s">
        <v>61</v>
      </c>
    </row>
    <row r="50" spans="3:14" x14ac:dyDescent="0.25">
      <c r="D50" s="49">
        <v>3</v>
      </c>
      <c r="E50" s="37">
        <f>SUMIF($AA$27:$AD$42,$D$50*100+E46,$A$27:$E$42)</f>
        <v>-391010.53896868153</v>
      </c>
      <c r="F50" s="37">
        <f>SUMIF($AA$27:$AD$42,$D$50*100+F46,$A$27:$E$42)</f>
        <v>0</v>
      </c>
      <c r="G50" s="41">
        <f>SUMIF($AA$27:$AD$42,$D$50*100+G46,$A$27:$E$42)</f>
        <v>-268816.24893991876</v>
      </c>
      <c r="H50" s="37">
        <f>C29+A33</f>
        <v>570221.37159529398</v>
      </c>
      <c r="I50" s="37">
        <f>C33</f>
        <v>-179210.83262661251</v>
      </c>
      <c r="J50" s="41">
        <f>D33</f>
        <v>268816.24893991876</v>
      </c>
      <c r="K50" s="57"/>
      <c r="L50" s="37" t="s">
        <v>62</v>
      </c>
      <c r="M50" s="58"/>
      <c r="N50" s="56">
        <f>T21*1000</f>
        <v>0</v>
      </c>
    </row>
    <row r="51" spans="3:14" x14ac:dyDescent="0.25">
      <c r="D51" s="49">
        <v>5</v>
      </c>
      <c r="E51" s="37">
        <f>SUMIF($AA$27:$AD$42,$D$51*100+E46,$A$27:$E$42)</f>
        <v>-179210.83262661251</v>
      </c>
      <c r="F51" s="37">
        <f>SUMIF($AA$27:$AD$42,$D$51*100+F46,$A$27:$E$42)</f>
        <v>-268816.24893991876</v>
      </c>
      <c r="G51" s="41">
        <f>SUMIF($AA$27:$AD$42,$D$51*100+G46,$A$27:$E$42)</f>
        <v>268816.24893991876</v>
      </c>
      <c r="H51" s="37">
        <f>A35</f>
        <v>-179210.83262661251</v>
      </c>
      <c r="I51" s="37">
        <f>C35+A39</f>
        <v>358421.66525322502</v>
      </c>
      <c r="J51" s="41">
        <f>D35+B39</f>
        <v>0</v>
      </c>
      <c r="K51" s="57"/>
      <c r="L51" s="37" t="s">
        <v>63</v>
      </c>
      <c r="M51" s="58"/>
      <c r="N51" s="56">
        <f>T22*1000</f>
        <v>0</v>
      </c>
    </row>
    <row r="52" spans="3:14" x14ac:dyDescent="0.25">
      <c r="D52" s="49">
        <v>6</v>
      </c>
      <c r="E52" s="37">
        <f>SUMIF($AA$27:$AD$42,$D$52*100+E46,$A$27:$E$42)</f>
        <v>-268816.24893991876</v>
      </c>
      <c r="F52" s="37">
        <f>SUMIF($AA$27:$AD$42,$D$52*100+F46,$A$27:$E$42)</f>
        <v>-403224.37340987817</v>
      </c>
      <c r="G52" s="41">
        <f>SUMIF($AA$27:$AD$42,$D$52*100+G46,$A$27:$E$42)</f>
        <v>-403224.37340987817</v>
      </c>
      <c r="H52" s="37">
        <f>SUMIF($AA$27:$AD$42,$D$52*100+H46,$A$27:$E$42)</f>
        <v>268816.24893991876</v>
      </c>
      <c r="I52" s="37">
        <f>C36+A40</f>
        <v>0</v>
      </c>
      <c r="J52" s="41">
        <f>D36+B40</f>
        <v>806448.74681975634</v>
      </c>
      <c r="K52" s="57"/>
      <c r="L52" s="37" t="s">
        <v>64</v>
      </c>
      <c r="M52" s="58"/>
      <c r="N52" s="56">
        <f>U22*1000</f>
        <v>-100000</v>
      </c>
    </row>
    <row r="53" spans="3:14" x14ac:dyDescent="0.25">
      <c r="D53" s="20"/>
      <c r="E53" s="51"/>
      <c r="F53" s="51"/>
      <c r="G53" s="51"/>
      <c r="H53" s="51"/>
      <c r="I53" s="51"/>
      <c r="J53" s="51"/>
      <c r="K53" s="51"/>
      <c r="L53" s="20"/>
    </row>
    <row r="54" spans="3:14" x14ac:dyDescent="0.25">
      <c r="D54" s="20"/>
      <c r="E54" s="52"/>
      <c r="F54" s="52"/>
      <c r="G54" s="52"/>
      <c r="H54" s="52"/>
      <c r="I54" s="52"/>
      <c r="J54" s="52"/>
      <c r="K54" s="52"/>
      <c r="L54" s="20"/>
    </row>
    <row r="55" spans="3:14" x14ac:dyDescent="0.25">
      <c r="D55" s="20"/>
      <c r="E55" s="49"/>
      <c r="F55" s="41" t="s">
        <v>62</v>
      </c>
      <c r="G55" s="58"/>
      <c r="H55" s="38">
        <f>(INDEX(MMULT(MINVERSE(H50:J52),(N50:N52)),1,1))</f>
        <v>8.5249194104211112E-2</v>
      </c>
      <c r="I55" s="20"/>
      <c r="J55" s="20"/>
    </row>
    <row r="56" spans="3:14" x14ac:dyDescent="0.25">
      <c r="D56" s="20"/>
      <c r="E56" s="49"/>
      <c r="F56" s="41" t="s">
        <v>63</v>
      </c>
      <c r="G56" s="58"/>
      <c r="H56" s="38">
        <f>(INDEX(MMULT(MINVERSE(H50:J52),(N50:N52)),2,1))</f>
        <v>4.2624597052105556E-2</v>
      </c>
      <c r="I56" s="20"/>
      <c r="J56" s="20"/>
    </row>
    <row r="57" spans="3:14" x14ac:dyDescent="0.25">
      <c r="D57" s="20"/>
      <c r="E57" s="49"/>
      <c r="F57" s="41" t="s">
        <v>64</v>
      </c>
      <c r="G57" s="58"/>
      <c r="H57" s="38">
        <f>(INDEX(MMULT(MINVERSE(H50:J52),(N50:N52)),3,1))</f>
        <v>-0.15241683872529749</v>
      </c>
      <c r="I57" s="20"/>
      <c r="J57" s="20"/>
    </row>
    <row r="58" spans="3:14" x14ac:dyDescent="0.25">
      <c r="D58" s="20"/>
      <c r="E58" s="20"/>
      <c r="F58" s="20"/>
      <c r="G58" s="20"/>
      <c r="H58" s="20"/>
      <c r="I58" s="20"/>
      <c r="J58" s="20"/>
    </row>
    <row r="59" spans="3:14" ht="15.75" thickBot="1" x14ac:dyDescent="0.3"/>
    <row r="60" spans="3:14" ht="15.75" thickBot="1" x14ac:dyDescent="0.3">
      <c r="C60" s="225" t="s">
        <v>72</v>
      </c>
      <c r="D60" s="226"/>
      <c r="E60" s="226"/>
      <c r="F60" s="227"/>
    </row>
    <row r="61" spans="3:14" ht="15.75" thickBot="1" x14ac:dyDescent="0.3">
      <c r="C61" s="231" t="s">
        <v>94</v>
      </c>
      <c r="D61" s="231"/>
      <c r="E61" s="231"/>
      <c r="F61" s="102">
        <f>H50*C8+I50*C9+J50*C10-N50</f>
        <v>-1.862645149230957E-9</v>
      </c>
    </row>
    <row r="62" spans="3:14" ht="15.75" thickBot="1" x14ac:dyDescent="0.3">
      <c r="C62" s="231" t="s">
        <v>86</v>
      </c>
      <c r="D62" s="231"/>
      <c r="E62" s="231"/>
      <c r="F62" s="102">
        <f>H51*C18+I51*C9+J51*C10-N51</f>
        <v>-3660241.6303474233</v>
      </c>
    </row>
    <row r="63" spans="3:14" ht="15.75" thickBot="1" x14ac:dyDescent="0.3">
      <c r="C63" s="228" t="s">
        <v>87</v>
      </c>
      <c r="D63" s="228"/>
      <c r="E63" s="228"/>
      <c r="F63" s="104">
        <f>H52*C8+I52*C9+J52*C10-N52</f>
        <v>24058256.820550121</v>
      </c>
    </row>
    <row r="64" spans="3:14" ht="15.75" thickBot="1" x14ac:dyDescent="0.3"/>
    <row r="65" spans="3:6" x14ac:dyDescent="0.25">
      <c r="C65" s="225" t="s">
        <v>73</v>
      </c>
      <c r="D65" s="226"/>
      <c r="E65" s="226"/>
      <c r="F65" s="227"/>
    </row>
    <row r="66" spans="3:6" ht="15.75" thickBot="1" x14ac:dyDescent="0.3">
      <c r="C66" s="233" t="s">
        <v>95</v>
      </c>
      <c r="D66" s="234"/>
      <c r="E66" s="234"/>
      <c r="F66" s="103">
        <f>0.5*((N50*C8)+(N51*C9)+(N52*C10))</f>
        <v>-1825820.8830497726</v>
      </c>
    </row>
  </sheetData>
  <mergeCells count="17">
    <mergeCell ref="C1:K2"/>
    <mergeCell ref="C62:E62"/>
    <mergeCell ref="C65:F65"/>
    <mergeCell ref="C66:E66"/>
    <mergeCell ref="J19:J20"/>
    <mergeCell ref="K19:K20"/>
    <mergeCell ref="L19:L20"/>
    <mergeCell ref="O19:O20"/>
    <mergeCell ref="C60:F60"/>
    <mergeCell ref="C63:E63"/>
    <mergeCell ref="I19:I20"/>
    <mergeCell ref="C61:E61"/>
    <mergeCell ref="B19:B20"/>
    <mergeCell ref="C19:C20"/>
    <mergeCell ref="D19:E19"/>
    <mergeCell ref="F19:G19"/>
    <mergeCell ref="H19:H20"/>
  </mergeCells>
  <conditionalFormatting sqref="N21">
    <cfRule type="cellIs" dxfId="6" priority="15" operator="equal">
      <formula>IF($L$21&gt;$M$21,$N$21)</formula>
    </cfRule>
  </conditionalFormatting>
  <conditionalFormatting sqref="N22">
    <cfRule type="cellIs" dxfId="5" priority="14" operator="equal">
      <formula>IF($L$22&gt;$M$22,$N$22)</formula>
    </cfRule>
  </conditionalFormatting>
  <conditionalFormatting sqref="N23">
    <cfRule type="cellIs" dxfId="4" priority="13" operator="equal">
      <formula>IF($L$23&gt;$M$23,$N$23)</formula>
    </cfRule>
  </conditionalFormatting>
  <conditionalFormatting sqref="O21">
    <cfRule type="cellIs" dxfId="3" priority="12" operator="equal">
      <formula>IF($L$21&gt;$M$21,$O$21)</formula>
    </cfRule>
  </conditionalFormatting>
  <conditionalFormatting sqref="O22">
    <cfRule type="cellIs" dxfId="2" priority="11" operator="equal">
      <formula>IF($L$22&gt;$M$22,$O$22)</formula>
    </cfRule>
  </conditionalFormatting>
  <conditionalFormatting sqref="O23">
    <cfRule type="cellIs" dxfId="1" priority="10" operator="equal">
      <formula>IF($L$23&gt;$M$23,$O$23)</formula>
    </cfRule>
  </conditionalFormatting>
  <dataValidations disablePrompts="1" count="2">
    <dataValidation type="decimal" operator="greaterThan" allowBlank="1" showInputMessage="1" showErrorMessage="1" error="Just positive number is acceptable_x000a_" sqref="H21:J24 C21">
      <formula1>0</formula1>
    </dataValidation>
    <dataValidation type="decimal" allowBlank="1" showInputMessage="1" showErrorMessage="1" error="Just positive number is acceptable_x000a_Min:0.1                    Max:2" sqref="N19">
      <formula1>0.1</formula1>
      <formula2>2</formula2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8"/>
  <sheetViews>
    <sheetView topLeftCell="C1" workbookViewId="0">
      <selection activeCell="B18" sqref="B18"/>
    </sheetView>
  </sheetViews>
  <sheetFormatPr defaultRowHeight="15" x14ac:dyDescent="0.25"/>
  <cols>
    <col min="2" max="2" width="12.28515625" bestFit="1" customWidth="1"/>
    <col min="3" max="3" width="6.5703125" customWidth="1"/>
  </cols>
  <sheetData>
    <row r="1" spans="1:4" x14ac:dyDescent="0.25">
      <c r="A1" s="10" t="s">
        <v>4</v>
      </c>
      <c r="B1" s="15">
        <v>30</v>
      </c>
    </row>
    <row r="2" spans="1:4" x14ac:dyDescent="0.25">
      <c r="A2" s="10" t="s">
        <v>24</v>
      </c>
      <c r="B2" s="15">
        <v>24</v>
      </c>
    </row>
    <row r="3" spans="1:4" x14ac:dyDescent="0.25">
      <c r="A3" s="10" t="s">
        <v>25</v>
      </c>
      <c r="B3" s="15">
        <v>4</v>
      </c>
    </row>
    <row r="4" spans="1:4" x14ac:dyDescent="0.25">
      <c r="A4" s="10" t="s">
        <v>26</v>
      </c>
      <c r="B4" s="15">
        <v>2</v>
      </c>
    </row>
    <row r="5" spans="1:4" x14ac:dyDescent="0.25">
      <c r="A5" s="10" t="s">
        <v>31</v>
      </c>
      <c r="B5" s="2">
        <v>0.5</v>
      </c>
      <c r="C5" s="10" t="s">
        <v>33</v>
      </c>
      <c r="D5" s="13">
        <v>0.5</v>
      </c>
    </row>
    <row r="6" spans="1:4" x14ac:dyDescent="0.25">
      <c r="A6" s="10" t="s">
        <v>32</v>
      </c>
      <c r="B6" s="2">
        <v>4</v>
      </c>
      <c r="C6" s="10" t="s">
        <v>34</v>
      </c>
      <c r="D6" s="13">
        <v>2</v>
      </c>
    </row>
    <row r="7" spans="1:4" x14ac:dyDescent="0.25">
      <c r="A7" s="10" t="s">
        <v>8</v>
      </c>
      <c r="B7" s="2">
        <v>10</v>
      </c>
      <c r="C7" s="10" t="s">
        <v>36</v>
      </c>
      <c r="D7" s="13">
        <v>20</v>
      </c>
    </row>
    <row r="8" spans="1:4" x14ac:dyDescent="0.25">
      <c r="A8" s="10" t="s">
        <v>9</v>
      </c>
      <c r="B8" s="2">
        <v>30</v>
      </c>
      <c r="C8" s="10" t="s">
        <v>37</v>
      </c>
      <c r="D8" s="13">
        <v>100</v>
      </c>
    </row>
    <row r="9" spans="1:4" x14ac:dyDescent="0.25">
      <c r="A9" s="10" t="s">
        <v>14</v>
      </c>
      <c r="B9" s="2">
        <v>2400</v>
      </c>
    </row>
    <row r="11" spans="1:4" x14ac:dyDescent="0.25">
      <c r="A11" s="10" t="s">
        <v>27</v>
      </c>
      <c r="B11" s="16">
        <f>((B1*B3)*(1.5*B3+B2)+(B2*B4)*(B3+0.5*B2)+(B1*B3)*(0.5*B3))/((B1*B3*2)+(B2*B4))</f>
        <v>16</v>
      </c>
    </row>
    <row r="12" spans="1:4" x14ac:dyDescent="0.25">
      <c r="A12" s="14"/>
      <c r="B12" s="14"/>
    </row>
    <row r="13" spans="1:4" ht="15.75" x14ac:dyDescent="0.25">
      <c r="A13" s="14" t="s">
        <v>29</v>
      </c>
      <c r="B13" s="17">
        <f>B1/(2*B3)</f>
        <v>3.75</v>
      </c>
      <c r="C13" s="18" t="str">
        <f>IF(B13&gt;D13,"&gt;","&lt;")</f>
        <v>&lt;</v>
      </c>
      <c r="D13" s="11">
        <f>545/SQRT(B9)</f>
        <v>11.124765915140268</v>
      </c>
    </row>
    <row r="14" spans="1:4" ht="15.75" x14ac:dyDescent="0.25">
      <c r="A14" s="14" t="s">
        <v>28</v>
      </c>
      <c r="B14" s="16">
        <f>(B2+2*B3)/B4</f>
        <v>16</v>
      </c>
      <c r="C14" s="18" t="str">
        <f>IF(B14&gt;D14,"&gt;","&lt;")</f>
        <v>&lt;</v>
      </c>
      <c r="D14" s="11">
        <f>5365/SQRT(B9)</f>
        <v>109.51260391693125</v>
      </c>
    </row>
    <row r="15" spans="1:4" x14ac:dyDescent="0.25">
      <c r="A15" s="14"/>
      <c r="B15" s="14" t="b">
        <f>AND(B3,B4)</f>
        <v>1</v>
      </c>
    </row>
    <row r="16" spans="1:4" x14ac:dyDescent="0.25">
      <c r="A16" s="14" t="s">
        <v>35</v>
      </c>
      <c r="B16" s="16">
        <f>B2-12*B4</f>
        <v>0</v>
      </c>
    </row>
    <row r="17" spans="1:2" x14ac:dyDescent="0.25">
      <c r="A17" s="14"/>
      <c r="B17" s="14"/>
    </row>
    <row r="18" spans="1:2" ht="15.75" x14ac:dyDescent="0.25">
      <c r="A18" s="12" t="s">
        <v>30</v>
      </c>
      <c r="B18" s="17">
        <f>2*(((B1*(B3)^3)/12)+(B1*B3)*(B2+2*B3-0.5*B3-B11)^2)+(B4*(B2)^3)/12</f>
        <v>49664</v>
      </c>
    </row>
  </sheetData>
  <customSheetViews>
    <customSheetView guid="{5E047470-7D77-426D-B94B-7966AE8B6508}">
      <selection activeCell="C6" sqref="C6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2"/>
  <sheetViews>
    <sheetView tabSelected="1" zoomScale="85" zoomScaleNormal="85" workbookViewId="0">
      <selection activeCell="J244" sqref="J244"/>
    </sheetView>
  </sheetViews>
  <sheetFormatPr defaultRowHeight="15" x14ac:dyDescent="0.25"/>
  <cols>
    <col min="4" max="4" width="13.5703125" bestFit="1" customWidth="1"/>
    <col min="6" max="6" width="10.85546875" bestFit="1" customWidth="1"/>
    <col min="7" max="7" width="13.28515625" customWidth="1"/>
    <col min="8" max="8" width="10.5703125" customWidth="1"/>
    <col min="9" max="9" width="16.85546875" customWidth="1"/>
    <col min="10" max="10" width="12.28515625" customWidth="1"/>
    <col min="11" max="11" width="12.5703125" customWidth="1"/>
    <col min="12" max="12" width="8.42578125" customWidth="1"/>
    <col min="13" max="13" width="11" bestFit="1" customWidth="1"/>
    <col min="14" max="14" width="9.85546875" bestFit="1" customWidth="1"/>
    <col min="15" max="15" width="9.42578125" bestFit="1" customWidth="1"/>
    <col min="19" max="19" width="9.42578125" bestFit="1" customWidth="1"/>
    <col min="20" max="20" width="9.5703125" bestFit="1" customWidth="1"/>
    <col min="21" max="21" width="9.140625" bestFit="1" customWidth="1"/>
    <col min="33" max="33" width="9.42578125" bestFit="1" customWidth="1"/>
    <col min="34" max="35" width="10" bestFit="1" customWidth="1"/>
  </cols>
  <sheetData>
    <row r="1" spans="1:36" ht="15.75" thickBot="1" x14ac:dyDescent="0.3">
      <c r="A1" s="225" t="s">
        <v>73</v>
      </c>
      <c r="B1" s="226"/>
      <c r="C1" s="226"/>
      <c r="D1" s="227"/>
      <c r="F1" s="19"/>
      <c r="AG1">
        <v>0</v>
      </c>
      <c r="AH1">
        <v>0</v>
      </c>
    </row>
    <row r="2" spans="1:36" ht="15.75" thickBot="1" x14ac:dyDescent="0.3">
      <c r="A2" s="248" t="s">
        <v>96</v>
      </c>
      <c r="B2" s="248"/>
      <c r="C2" s="248"/>
      <c r="D2" s="200">
        <f>D24*F19+D33*F20+D42*F210</f>
        <v>1754792.2741266768</v>
      </c>
      <c r="AG2" s="8">
        <f>AG29</f>
        <v>7.5168632628953329</v>
      </c>
      <c r="AH2" s="8">
        <f>AI26+AI47</f>
        <v>-30619.580627396419</v>
      </c>
    </row>
    <row r="3" spans="1:36" ht="15.75" thickBot="1" x14ac:dyDescent="0.3">
      <c r="R3" s="194" t="s">
        <v>97</v>
      </c>
      <c r="S3" s="134">
        <v>-0.64365412097097663</v>
      </c>
      <c r="T3" s="136">
        <f>INDEX(MMULT(MINVERSE($F$231:$N$239),$R$231:$R$239),1,1)</f>
        <v>-0.64365412095514563</v>
      </c>
      <c r="U3" s="133">
        <f>ROUND(ABS((S3-T3)/S3),3)</f>
        <v>0</v>
      </c>
      <c r="AG3" s="8">
        <f>AG86</f>
        <v>22.902071457522705</v>
      </c>
      <c r="AH3">
        <f>AI83+AI95</f>
        <v>-42787.473120417897</v>
      </c>
    </row>
    <row r="4" spans="1:36" ht="15.75" thickBot="1" x14ac:dyDescent="0.3">
      <c r="N4" s="190" t="s">
        <v>101</v>
      </c>
      <c r="O4" s="134">
        <v>-0.16448581715392796</v>
      </c>
      <c r="P4" s="136">
        <f>INDEX(MMULT(MINVERSE($G$172:$N$179),$R$172:$R$179),1,1)</f>
        <v>-0.16448581715392496</v>
      </c>
      <c r="Q4" s="133">
        <f>ROUND(ABS((O4-P4)/O4),3)</f>
        <v>0</v>
      </c>
      <c r="R4" s="194" t="s">
        <v>101</v>
      </c>
      <c r="S4" s="134">
        <v>-0.92534272695413833</v>
      </c>
      <c r="T4" s="136">
        <f>INDEX(MMULT(MINVERSE($F$231:$N$239),$R$231:$R$239),2,1)</f>
        <v>-0.92534272693137753</v>
      </c>
      <c r="U4" s="133">
        <f>ROUND(ABS((S4-T4)/S4),3)</f>
        <v>0</v>
      </c>
      <c r="AG4" s="8">
        <f>AG144</f>
        <v>49.418062687460889</v>
      </c>
      <c r="AH4">
        <f>AI141+AI162</f>
        <v>-19346.350359780336</v>
      </c>
    </row>
    <row r="5" spans="1:36" ht="15.75" thickBot="1" x14ac:dyDescent="0.3">
      <c r="C5" s="146" t="s">
        <v>132</v>
      </c>
      <c r="D5" s="146" t="s">
        <v>133</v>
      </c>
      <c r="J5" s="148" t="s">
        <v>101</v>
      </c>
      <c r="K5" s="134">
        <v>-8.794214135605162E-2</v>
      </c>
      <c r="L5" s="136">
        <f>INDEX(MMULT(MINVERSE($G$114:$M$120),$Q$114:$Q$120),1,1)</f>
        <v>-8.794214135605051E-2</v>
      </c>
      <c r="M5" s="133">
        <f>ROUND(ABS((K5-L5)/K5),3)</f>
        <v>0</v>
      </c>
      <c r="N5" s="190" t="s">
        <v>103</v>
      </c>
      <c r="O5" s="134">
        <v>49.418062687460889</v>
      </c>
      <c r="P5" s="136">
        <f>INDEX(MMULT(MINVERSE($G$172:$N$179),$R$172:$R$179),2,1)</f>
        <v>49.418062687460001</v>
      </c>
      <c r="Q5" s="133">
        <f>ROUND(ABS((O5-P5)/O5),3)</f>
        <v>0</v>
      </c>
      <c r="R5" s="194" t="s">
        <v>103</v>
      </c>
      <c r="S5" s="134">
        <v>277.85243716301852</v>
      </c>
      <c r="T5" s="136">
        <f>INDEX(MMULT(MINVERSE($F$231:$N$239),$R$231:$R$239),3,1)</f>
        <v>277.85243715618418</v>
      </c>
      <c r="U5" s="133">
        <f>ROUND(ABS((S5-T5)/S5),3)</f>
        <v>0</v>
      </c>
      <c r="AG5" s="8">
        <f>AG204</f>
        <v>277.85243716301852</v>
      </c>
      <c r="AH5">
        <f>AI201+AI222</f>
        <v>-66777.963273775415</v>
      </c>
    </row>
    <row r="6" spans="1:36" ht="15.75" thickBot="1" x14ac:dyDescent="0.3">
      <c r="A6" s="148" t="s">
        <v>39</v>
      </c>
      <c r="B6" s="138">
        <v>10.000000000000002</v>
      </c>
      <c r="C6" s="75">
        <v>10</v>
      </c>
      <c r="D6" s="75">
        <v>30</v>
      </c>
      <c r="F6" s="148" t="s">
        <v>103</v>
      </c>
      <c r="G6" s="134">
        <v>7.5168632628953329</v>
      </c>
      <c r="H6" s="136">
        <f>INDEX(MMULT(MINVERSE($H$58:$M$63),$Q$58:$Q$63),1,1)</f>
        <v>7.5168632628953151</v>
      </c>
      <c r="I6" s="133">
        <f>ROUND(ABS((G6-H6)/G6),3)</f>
        <v>0</v>
      </c>
      <c r="J6" s="148" t="s">
        <v>103</v>
      </c>
      <c r="K6" s="134">
        <v>22.902071457522705</v>
      </c>
      <c r="L6" s="136">
        <f>INDEX(MMULT(MINVERSE($G$114:$M$120),$Q$114:$Q$120),2,1)</f>
        <v>22.902071457522435</v>
      </c>
      <c r="M6" s="133">
        <f>ROUND(ABS((K6-L6)/K6),3)</f>
        <v>0</v>
      </c>
      <c r="N6" s="190" t="s">
        <v>105</v>
      </c>
      <c r="O6" s="134">
        <v>7.0648372625548794E-2</v>
      </c>
      <c r="P6" s="136">
        <f>INDEX(MMULT(MINVERSE($G$172:$N$179),$R$172:$R$179),3,1)</f>
        <v>7.0648372625547365E-2</v>
      </c>
      <c r="Q6" s="133">
        <f>ROUND(ABS((O6-P6)/O6),3)</f>
        <v>0</v>
      </c>
      <c r="R6" s="194" t="s">
        <v>105</v>
      </c>
      <c r="S6" s="134">
        <v>0.2438575930242983</v>
      </c>
      <c r="T6" s="136">
        <f>INDEX(MMULT(MINVERSE($F$231:$N$239),$R$231:$R$239),4,1)</f>
        <v>0.2438575930183037</v>
      </c>
      <c r="U6" s="133">
        <f>ROUND(ABS((S6-T6)/S6),3)</f>
        <v>0</v>
      </c>
    </row>
    <row r="7" spans="1:36" ht="15.75" thickBot="1" x14ac:dyDescent="0.3">
      <c r="A7" s="148" t="s">
        <v>98</v>
      </c>
      <c r="B7" s="138">
        <v>0.5</v>
      </c>
      <c r="C7" s="75">
        <v>0.5</v>
      </c>
      <c r="D7" s="75">
        <v>2</v>
      </c>
      <c r="F7" s="148" t="s">
        <v>105</v>
      </c>
      <c r="G7" s="76">
        <v>0.11181558803460567</v>
      </c>
      <c r="H7" s="136">
        <f>INDEX(MMULT(MINVERSE($H$58:$M$63),$Q$58:$Q$63),2,1)</f>
        <v>0.11181558803460544</v>
      </c>
      <c r="I7" s="133">
        <f t="shared" ref="I7:I11" si="0">ROUND(ABS((G7-H7)/G7),3)</f>
        <v>0</v>
      </c>
      <c r="J7" s="148" t="s">
        <v>105</v>
      </c>
      <c r="K7" s="76">
        <v>0.1525389440545552</v>
      </c>
      <c r="L7" s="136">
        <f>INDEX(MMULT(MINVERSE($G$114:$M$120),$Q$114:$Q$120),3,1)</f>
        <v>0.15253894405455506</v>
      </c>
      <c r="M7" s="133">
        <f t="shared" ref="M7:M11" si="1">ROUND(ABS((K7-L7)/K7),3)</f>
        <v>0</v>
      </c>
      <c r="N7" s="190" t="s">
        <v>106</v>
      </c>
      <c r="O7" s="76">
        <v>-0.11016128938935642</v>
      </c>
      <c r="P7" s="136">
        <f>INDEX(MMULT(MINVERSE($G$172:$N$179),$R$172:$R$179),4,1)</f>
        <v>-0.11016128938935446</v>
      </c>
      <c r="Q7" s="133">
        <f t="shared" ref="Q7:Q11" si="2">ROUND(ABS((O7-P7)/O7),3)</f>
        <v>0</v>
      </c>
      <c r="R7" s="194" t="s">
        <v>106</v>
      </c>
      <c r="S7" s="76">
        <v>-0.38024466631844001</v>
      </c>
      <c r="T7" s="136">
        <f>INDEX(MMULT(MINVERSE($F$231:$N$239),$R$231:$R$239),5,1)</f>
        <v>-0.38024466630908699</v>
      </c>
      <c r="U7" s="133">
        <f t="shared" ref="U7:U11" si="3">ROUND(ABS((S7-T7)/S7),3)</f>
        <v>0</v>
      </c>
    </row>
    <row r="8" spans="1:36" ht="15.75" thickBot="1" x14ac:dyDescent="0.3">
      <c r="A8" s="148" t="s">
        <v>99</v>
      </c>
      <c r="B8" s="138">
        <v>0.5</v>
      </c>
      <c r="C8" s="75">
        <v>0.5</v>
      </c>
      <c r="D8" s="75">
        <v>2</v>
      </c>
      <c r="F8" s="148" t="s">
        <v>106</v>
      </c>
      <c r="G8" s="76">
        <v>-1.1414223006057852E-2</v>
      </c>
      <c r="H8" s="136">
        <f>INDEX(MMULT(MINVERSE($H$58:$M$63),$Q$58:$Q$63),3,1)</f>
        <v>-1.1414223006057822E-2</v>
      </c>
      <c r="I8" s="133">
        <f t="shared" si="0"/>
        <v>0</v>
      </c>
      <c r="J8" s="148" t="s">
        <v>106</v>
      </c>
      <c r="K8" s="76">
        <v>-3.9374502540716359E-2</v>
      </c>
      <c r="L8" s="136">
        <f>INDEX(MMULT(MINVERSE($G$114:$M$120),$Q$114:$Q$120),4,1)</f>
        <v>-3.9374502540715894E-2</v>
      </c>
      <c r="M8" s="133">
        <f t="shared" si="1"/>
        <v>0</v>
      </c>
      <c r="N8" s="190" t="s">
        <v>107</v>
      </c>
      <c r="O8" s="76">
        <v>49.345745146178388</v>
      </c>
      <c r="P8" s="136">
        <f>INDEX(MMULT(MINVERSE($G$172:$N$179),$R$172:$R$179),5,1)</f>
        <v>49.345745146177492</v>
      </c>
      <c r="Q8" s="133">
        <f t="shared" si="2"/>
        <v>0</v>
      </c>
      <c r="R8" s="194" t="s">
        <v>107</v>
      </c>
      <c r="S8" s="76">
        <v>277.60281808624148</v>
      </c>
      <c r="T8" s="136">
        <f>INDEX(MMULT(MINVERSE($F$231:$N$239),$R$231:$R$239),6,1)</f>
        <v>277.60281807941328</v>
      </c>
      <c r="U8" s="133">
        <f t="shared" si="3"/>
        <v>0</v>
      </c>
    </row>
    <row r="9" spans="1:36" ht="15.75" thickBot="1" x14ac:dyDescent="0.3">
      <c r="A9" s="148" t="s">
        <v>100</v>
      </c>
      <c r="B9" s="142">
        <v>45.2</v>
      </c>
      <c r="C9" s="75">
        <v>10</v>
      </c>
      <c r="D9" s="75">
        <v>70</v>
      </c>
      <c r="F9" s="148" t="s">
        <v>107</v>
      </c>
      <c r="G9" s="76">
        <v>7.1203412402103368</v>
      </c>
      <c r="H9" s="136">
        <f>INDEX(MMULT(MINVERSE($H$58:$M$63),$Q$58:$Q$63),4,1)</f>
        <v>7.120341240210319</v>
      </c>
      <c r="I9" s="133">
        <f t="shared" si="0"/>
        <v>0</v>
      </c>
      <c r="J9" s="148" t="s">
        <v>107</v>
      </c>
      <c r="K9" s="76">
        <v>22.572707175135271</v>
      </c>
      <c r="L9" s="136">
        <f>INDEX(MMULT(MINVERSE($G$114:$M$120),$Q$114:$Q$120),5,1)</f>
        <v>22.57270717513499</v>
      </c>
      <c r="M9" s="133">
        <f t="shared" si="1"/>
        <v>0</v>
      </c>
      <c r="N9" s="190" t="s">
        <v>108</v>
      </c>
      <c r="O9" s="76">
        <v>-4.2389023575329525E-2</v>
      </c>
      <c r="P9" s="136">
        <f>INDEX(MMULT(MINVERSE($G$172:$N$179),$R$172:$R$179),6,1)</f>
        <v>-4.2389023575329254E-2</v>
      </c>
      <c r="Q9" s="133">
        <f t="shared" si="2"/>
        <v>0</v>
      </c>
      <c r="R9" s="194" t="s">
        <v>108</v>
      </c>
      <c r="S9" s="76">
        <v>-0.14631455581458586</v>
      </c>
      <c r="T9" s="136">
        <f>INDEX(MMULT(MINVERSE($F$231:$N$239),$R$231:$R$239),7,1)</f>
        <v>-0.14631455581097963</v>
      </c>
      <c r="U9" s="133">
        <f t="shared" si="3"/>
        <v>0</v>
      </c>
    </row>
    <row r="10" spans="1:36" ht="15.75" thickBot="1" x14ac:dyDescent="0.3">
      <c r="A10" s="148" t="s">
        <v>102</v>
      </c>
      <c r="B10" s="143">
        <v>36.07</v>
      </c>
      <c r="C10" s="75">
        <v>10</v>
      </c>
      <c r="D10" s="75">
        <v>70</v>
      </c>
      <c r="F10" s="148" t="s">
        <v>108</v>
      </c>
      <c r="G10" s="76">
        <v>-6.7089352820763407E-2</v>
      </c>
      <c r="H10" s="136">
        <f>INDEX(MMULT(MINVERSE($H$58:$M$63),$Q$58:$Q$63),5,1)</f>
        <v>-6.7089352820763462E-2</v>
      </c>
      <c r="I10" s="133">
        <f t="shared" si="0"/>
        <v>0</v>
      </c>
      <c r="J10" s="148" t="s">
        <v>108</v>
      </c>
      <c r="K10" s="76">
        <v>-9.1523366432732969E-2</v>
      </c>
      <c r="L10" s="136">
        <f>INDEX(MMULT(MINVERSE($G$114:$M$120),$Q$114:$Q$120),6,1)</f>
        <v>-9.15233664327324E-2</v>
      </c>
      <c r="M10" s="133">
        <f t="shared" si="1"/>
        <v>0</v>
      </c>
      <c r="N10" s="190" t="s">
        <v>109</v>
      </c>
      <c r="O10" s="76">
        <v>-0.16448581715392796</v>
      </c>
      <c r="P10" s="136">
        <f>INDEX(MMULT(MINVERSE($G$172:$N$179),$R$172:$R$179),7,1)</f>
        <v>-0.16448581715392499</v>
      </c>
      <c r="Q10" s="133">
        <f t="shared" si="2"/>
        <v>0</v>
      </c>
      <c r="R10" s="194" t="s">
        <v>109</v>
      </c>
      <c r="S10" s="76">
        <v>-0.92534272695413822</v>
      </c>
      <c r="T10" s="136">
        <f>INDEX(MMULT(MINVERSE($F$231:$N$239),$R$231:$R$239),8,1)</f>
        <v>-0.92534272693137787</v>
      </c>
      <c r="U10" s="133">
        <f t="shared" si="3"/>
        <v>0</v>
      </c>
      <c r="V10" s="83" t="s">
        <v>65</v>
      </c>
      <c r="W10" s="80" t="s">
        <v>66</v>
      </c>
      <c r="X10" s="80" t="s">
        <v>67</v>
      </c>
      <c r="Y10" s="149" t="s">
        <v>68</v>
      </c>
    </row>
    <row r="11" spans="1:36" ht="15.75" thickBot="1" x14ac:dyDescent="0.3">
      <c r="A11" s="148" t="s">
        <v>104</v>
      </c>
      <c r="B11" s="144">
        <v>45.2</v>
      </c>
      <c r="C11" s="75">
        <v>10</v>
      </c>
      <c r="D11" s="75">
        <v>70</v>
      </c>
      <c r="F11" s="148" t="s">
        <v>109</v>
      </c>
      <c r="G11" s="76">
        <v>-2.6789278610196119E-2</v>
      </c>
      <c r="H11" s="136">
        <f>INDEX(MMULT(MINVERSE($H$58:$M$63),$Q$58:$Q$63),6,1)</f>
        <v>-2.6789278610196064E-2</v>
      </c>
      <c r="I11" s="133">
        <f t="shared" si="0"/>
        <v>0</v>
      </c>
      <c r="J11" s="148" t="s">
        <v>109</v>
      </c>
      <c r="K11" s="76">
        <v>-4.9842789039249484E-2</v>
      </c>
      <c r="L11" s="136">
        <f>INDEX(MMULT(MINVERSE($G$114:$M$120),$Q$114:$Q$120),7,1)</f>
        <v>-4.9842789039248887E-2</v>
      </c>
      <c r="M11" s="133">
        <f t="shared" si="1"/>
        <v>0</v>
      </c>
      <c r="N11" s="190" t="s">
        <v>110</v>
      </c>
      <c r="O11" s="76">
        <v>5.4772072397264365E-2</v>
      </c>
      <c r="P11" s="136">
        <f>INDEX(MMULT(MINVERSE($G$172:$N$179),$R$172:$R$179),8,1)</f>
        <v>5.477207239726338E-2</v>
      </c>
      <c r="Q11" s="133">
        <f t="shared" si="2"/>
        <v>0</v>
      </c>
      <c r="R11" s="194" t="s">
        <v>110</v>
      </c>
      <c r="S11" s="76">
        <v>0.18905723151674989</v>
      </c>
      <c r="T11" s="136">
        <f>INDEX(MMULT(MINVERSE($F$231:$N$239),$R$231:$R$239),9,1)</f>
        <v>0.18905723151209955</v>
      </c>
      <c r="U11" s="133">
        <f t="shared" si="3"/>
        <v>0</v>
      </c>
      <c r="V11" s="162">
        <v>1</v>
      </c>
      <c r="W11" s="147">
        <v>0</v>
      </c>
      <c r="X11" s="147">
        <v>0</v>
      </c>
      <c r="Y11" s="160"/>
    </row>
    <row r="12" spans="1:36" ht="15.75" thickBot="1" x14ac:dyDescent="0.3">
      <c r="G12" s="20"/>
      <c r="H12" s="20"/>
      <c r="V12" s="163">
        <v>2</v>
      </c>
      <c r="W12" s="147">
        <f>B20</f>
        <v>0</v>
      </c>
      <c r="X12" s="147">
        <f>C20</f>
        <v>500</v>
      </c>
      <c r="Y12" s="159">
        <f>40000</f>
        <v>40000</v>
      </c>
    </row>
    <row r="13" spans="1:36" ht="15.75" thickBot="1" x14ac:dyDescent="0.3">
      <c r="A13" s="148" t="s">
        <v>111</v>
      </c>
      <c r="B13" s="75">
        <v>500</v>
      </c>
      <c r="C13" s="148" t="s">
        <v>112</v>
      </c>
      <c r="D13" s="75">
        <v>300</v>
      </c>
      <c r="E13" s="140" t="s">
        <v>1</v>
      </c>
      <c r="F13" s="75">
        <v>600</v>
      </c>
      <c r="G13" s="148" t="s">
        <v>143</v>
      </c>
      <c r="H13" s="135">
        <f>2*(((B6*B7)*(B10*0.5+B7*0.5))+(B10*B8*B10*0.5))*D14</f>
        <v>2000093.8800000001</v>
      </c>
      <c r="I13" s="148" t="s">
        <v>144</v>
      </c>
      <c r="J13" s="135">
        <f>2*(((B6*B7)*(B9*0.5+B7*0.5))+(B9*B8*B9*0.5))*D14</f>
        <v>3000048.0000000005</v>
      </c>
      <c r="V13" s="162">
        <v>3</v>
      </c>
      <c r="W13" s="147">
        <f>D20</f>
        <v>600</v>
      </c>
      <c r="X13" s="147">
        <f>E20</f>
        <v>300</v>
      </c>
      <c r="Y13" s="159">
        <v>0</v>
      </c>
    </row>
    <row r="14" spans="1:36" ht="15.75" thickBot="1" x14ac:dyDescent="0.3">
      <c r="A14" s="148" t="s">
        <v>3</v>
      </c>
      <c r="B14" s="106">
        <v>2100000</v>
      </c>
      <c r="C14" s="94" t="s">
        <v>113</v>
      </c>
      <c r="D14" s="75">
        <v>2400</v>
      </c>
      <c r="E14" s="148" t="s">
        <v>114</v>
      </c>
      <c r="F14" s="104">
        <f>0.6*D14</f>
        <v>1440</v>
      </c>
      <c r="G14" s="148" t="s">
        <v>2</v>
      </c>
      <c r="H14" s="104">
        <f>0.6*D14</f>
        <v>1440</v>
      </c>
      <c r="I14" s="148" t="s">
        <v>145</v>
      </c>
      <c r="J14" s="135">
        <f>2*(((B6*B7)*(B11*0.5+B7*0.5))+(B11*B8*B11*0.5))*D14</f>
        <v>3000048.0000000005</v>
      </c>
      <c r="V14" s="164">
        <v>4</v>
      </c>
      <c r="W14" s="65">
        <f>D21</f>
        <v>600</v>
      </c>
      <c r="X14" s="65">
        <f>E21</f>
        <v>0</v>
      </c>
      <c r="Y14" s="161"/>
    </row>
    <row r="15" spans="1:36" ht="15.75" thickBot="1" x14ac:dyDescent="0.3"/>
    <row r="16" spans="1:36" ht="15.75" thickBot="1" x14ac:dyDescent="0.3">
      <c r="A16" s="244" t="s">
        <v>134</v>
      </c>
      <c r="B16" s="245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171"/>
      <c r="AI16" s="171"/>
      <c r="AJ16" s="172"/>
    </row>
    <row r="17" spans="1:56" x14ac:dyDescent="0.25">
      <c r="A17" s="249" t="s">
        <v>43</v>
      </c>
      <c r="B17" s="251" t="s">
        <v>45</v>
      </c>
      <c r="C17" s="251"/>
      <c r="D17" s="251" t="s">
        <v>46</v>
      </c>
      <c r="E17" s="251"/>
      <c r="F17" s="235" t="s">
        <v>44</v>
      </c>
      <c r="G17" s="235" t="s">
        <v>130</v>
      </c>
      <c r="H17" s="235"/>
      <c r="I17" s="235"/>
      <c r="J17" s="246" t="s">
        <v>131</v>
      </c>
      <c r="K17" s="235"/>
      <c r="L17" s="247"/>
      <c r="P17" s="209"/>
      <c r="Q17" s="209"/>
      <c r="R17" s="209"/>
      <c r="S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173"/>
    </row>
    <row r="18" spans="1:56" x14ac:dyDescent="0.25">
      <c r="A18" s="250"/>
      <c r="B18" s="97" t="s">
        <v>53</v>
      </c>
      <c r="C18" s="97" t="s">
        <v>54</v>
      </c>
      <c r="D18" s="97" t="s">
        <v>53</v>
      </c>
      <c r="E18" s="97" t="s">
        <v>54</v>
      </c>
      <c r="F18" s="236"/>
      <c r="G18" s="98" t="s">
        <v>115</v>
      </c>
      <c r="H18" s="98" t="s">
        <v>116</v>
      </c>
      <c r="I18" s="98" t="s">
        <v>117</v>
      </c>
      <c r="J18" s="204" t="s">
        <v>115</v>
      </c>
      <c r="K18" s="98" t="s">
        <v>116</v>
      </c>
      <c r="L18" s="212" t="s">
        <v>117</v>
      </c>
      <c r="P18" s="205"/>
      <c r="Q18" s="210"/>
      <c r="R18" s="210"/>
      <c r="S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173"/>
    </row>
    <row r="19" spans="1:56" x14ac:dyDescent="0.25">
      <c r="A19" s="174">
        <v>1</v>
      </c>
      <c r="B19" s="147">
        <v>0</v>
      </c>
      <c r="C19" s="147">
        <v>0</v>
      </c>
      <c r="D19" s="147">
        <f>$B$19</f>
        <v>0</v>
      </c>
      <c r="E19" s="147">
        <f>$B$13</f>
        <v>500</v>
      </c>
      <c r="F19" s="107">
        <f>SQRT(((D19-B19)^2)+((E19-C19)^2))</f>
        <v>500</v>
      </c>
      <c r="G19" s="100">
        <f>AI26</f>
        <v>-15309.79031369821</v>
      </c>
      <c r="H19" s="137">
        <f>AI27</f>
        <v>8526.1227876057928</v>
      </c>
      <c r="I19" s="137">
        <f>AI28</f>
        <v>2566303.7747958014</v>
      </c>
      <c r="J19" s="207">
        <f>AI29</f>
        <v>15309.79031369821</v>
      </c>
      <c r="K19" s="137">
        <f>AI30</f>
        <v>-8526.1227876057928</v>
      </c>
      <c r="L19" s="213">
        <f>AI31</f>
        <v>1696757.6190070943</v>
      </c>
      <c r="P19" s="206"/>
      <c r="Q19" s="211"/>
      <c r="R19" s="211"/>
      <c r="S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173"/>
    </row>
    <row r="20" spans="1:56" x14ac:dyDescent="0.25">
      <c r="A20" s="174">
        <v>2</v>
      </c>
      <c r="B20" s="147">
        <f>$D$19</f>
        <v>0</v>
      </c>
      <c r="C20" s="147">
        <f>$E$19</f>
        <v>500</v>
      </c>
      <c r="D20" s="147">
        <f>$F$13</f>
        <v>600</v>
      </c>
      <c r="E20" s="147">
        <f>$D$13</f>
        <v>300</v>
      </c>
      <c r="F20" s="107">
        <f>SQRT(((D20-B20)^2)+((E20-C20)^2))</f>
        <v>632.45553203367592</v>
      </c>
      <c r="G20" s="100">
        <f>AI35</f>
        <v>29750.578936093338</v>
      </c>
      <c r="H20" s="137">
        <f>AI36</f>
        <v>-6221.0763182589071</v>
      </c>
      <c r="I20" s="137">
        <f>AI37</f>
        <v>-1696757.6190070948</v>
      </c>
      <c r="J20" s="207">
        <f>AI38</f>
        <v>-29750.578936093338</v>
      </c>
      <c r="K20" s="137">
        <f>AI39</f>
        <v>6221.0763182589071</v>
      </c>
      <c r="L20" s="213">
        <f>AI40</f>
        <v>-2237796.5136794439</v>
      </c>
      <c r="P20" s="206"/>
      <c r="Q20" s="211"/>
      <c r="R20" s="211"/>
      <c r="S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173"/>
    </row>
    <row r="21" spans="1:56" ht="15.75" customHeight="1" thickBot="1" x14ac:dyDescent="0.3">
      <c r="A21" s="175">
        <v>3</v>
      </c>
      <c r="B21" s="65">
        <f>$D$20</f>
        <v>600</v>
      </c>
      <c r="C21" s="65">
        <f>$E$20</f>
        <v>300</v>
      </c>
      <c r="D21" s="65">
        <f>$B$21</f>
        <v>600</v>
      </c>
      <c r="E21" s="65">
        <v>0</v>
      </c>
      <c r="F21" s="141">
        <f>SQRT(((D21-B21)^2)+((E21-C21)^2))</f>
        <v>300</v>
      </c>
      <c r="G21" s="105">
        <f>AI44</f>
        <v>15309.79031369821</v>
      </c>
      <c r="H21" s="101">
        <f>AI45</f>
        <v>26256.600277662023</v>
      </c>
      <c r="I21" s="101">
        <f>AI46</f>
        <v>2237796.5136794457</v>
      </c>
      <c r="J21" s="208">
        <f>AI47</f>
        <v>-15309.79031369821</v>
      </c>
      <c r="K21" s="101">
        <f>AI48</f>
        <v>-26256.600277662023</v>
      </c>
      <c r="L21" s="214">
        <f>AI49</f>
        <v>5639183.5696191601</v>
      </c>
      <c r="P21" s="206"/>
      <c r="Q21" s="211"/>
      <c r="R21" s="211"/>
      <c r="S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173"/>
    </row>
    <row r="22" spans="1:56" ht="15.75" thickBot="1" x14ac:dyDescent="0.3">
      <c r="A22" s="176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173"/>
    </row>
    <row r="23" spans="1:56" x14ac:dyDescent="0.25">
      <c r="A23" s="177" t="s">
        <v>118</v>
      </c>
      <c r="B23" s="108">
        <f>(D19-B19)/F19</f>
        <v>0</v>
      </c>
      <c r="C23" s="109" t="s">
        <v>119</v>
      </c>
      <c r="D23" s="108">
        <f>$B$7+0.5*$B$9</f>
        <v>23.1</v>
      </c>
      <c r="E23" s="109" t="s">
        <v>30</v>
      </c>
      <c r="F23" s="110">
        <f>2*((($B$6*($B$7)^3)/12)+($B$6*$B$7)*($B$9+2*$B$7-0.5*$B$7-D23)^2)+($B$8*($B$9)^3)/12</f>
        <v>9069.1586666666681</v>
      </c>
      <c r="G23" s="109" t="s">
        <v>120</v>
      </c>
      <c r="H23" s="150">
        <f>4*$B$14*F23/F19</f>
        <v>152361865.60000002</v>
      </c>
      <c r="I23" s="109" t="s">
        <v>121</v>
      </c>
      <c r="J23" s="111">
        <f>6*$B$14*F23/(F19^2)</f>
        <v>457085.59680000006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173"/>
    </row>
    <row r="24" spans="1:56" x14ac:dyDescent="0.25">
      <c r="A24" s="178" t="s">
        <v>122</v>
      </c>
      <c r="B24" s="112">
        <f>(E19-C19)/F19</f>
        <v>1</v>
      </c>
      <c r="C24" s="113" t="s">
        <v>13</v>
      </c>
      <c r="D24" s="114">
        <f>(2*$B$6*$B$7)+($B$9*$B$8)</f>
        <v>32.6</v>
      </c>
      <c r="E24" s="113" t="s">
        <v>123</v>
      </c>
      <c r="F24" s="151">
        <f>$B$14*D24/F19</f>
        <v>136920</v>
      </c>
      <c r="G24" s="113" t="s">
        <v>124</v>
      </c>
      <c r="H24" s="151">
        <f>2*$B$14*F23/F19</f>
        <v>76180932.800000012</v>
      </c>
      <c r="I24" s="113" t="s">
        <v>125</v>
      </c>
      <c r="J24" s="115">
        <f>12*$B$14*F23/(F19^3)</f>
        <v>1828.3423872000003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173"/>
    </row>
    <row r="25" spans="1:56" x14ac:dyDescent="0.25">
      <c r="A25" s="179">
        <f>G26</f>
        <v>1</v>
      </c>
      <c r="B25" s="112">
        <f>G27</f>
        <v>2</v>
      </c>
      <c r="C25" s="112">
        <f>G28</f>
        <v>3</v>
      </c>
      <c r="D25" s="112">
        <f>G29</f>
        <v>7</v>
      </c>
      <c r="E25" s="112">
        <f>G30</f>
        <v>8</v>
      </c>
      <c r="F25" s="112">
        <f>G31</f>
        <v>9</v>
      </c>
      <c r="G25" s="113"/>
      <c r="H25" s="113"/>
      <c r="I25" s="113"/>
      <c r="J25" s="116">
        <v>1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173"/>
      <c r="AY25">
        <f>AX26</f>
        <v>1</v>
      </c>
      <c r="AZ25">
        <f>AX27</f>
        <v>2</v>
      </c>
      <c r="BA25">
        <f>AX28</f>
        <v>3</v>
      </c>
      <c r="BB25">
        <f>AX29</f>
        <v>7</v>
      </c>
      <c r="BC25">
        <f>AX30</f>
        <v>8</v>
      </c>
      <c r="BD25">
        <f>AX31</f>
        <v>9</v>
      </c>
    </row>
    <row r="26" spans="1:56" x14ac:dyDescent="0.25">
      <c r="A26" s="180">
        <f>(F24*B23^2+J24*B24^2)</f>
        <v>1828.3423872000003</v>
      </c>
      <c r="B26" s="112">
        <f>(F24-J24)*B23*B24</f>
        <v>0</v>
      </c>
      <c r="C26" s="112">
        <f>-J23*B24</f>
        <v>-457085.59680000006</v>
      </c>
      <c r="D26" s="112">
        <f>-(F24*B23^2+J24*B24^2)</f>
        <v>-1828.3423872000003</v>
      </c>
      <c r="E26" s="112">
        <f>-(F24-J24)*B23*B24</f>
        <v>0</v>
      </c>
      <c r="F26" s="112">
        <f>-J23*B24</f>
        <v>-457085.59680000006</v>
      </c>
      <c r="G26" s="112">
        <v>1</v>
      </c>
      <c r="H26" s="113"/>
      <c r="I26" s="113"/>
      <c r="J26" s="117"/>
      <c r="K26" s="99"/>
      <c r="L26" s="120">
        <f>F24</f>
        <v>136920</v>
      </c>
      <c r="M26" s="120">
        <v>0</v>
      </c>
      <c r="N26" s="120">
        <v>0</v>
      </c>
      <c r="O26" s="120">
        <f>-F24</f>
        <v>-136920</v>
      </c>
      <c r="P26" s="120">
        <v>0</v>
      </c>
      <c r="Q26" s="119">
        <v>0</v>
      </c>
      <c r="R26" s="99"/>
      <c r="S26" s="120">
        <f>B23</f>
        <v>0</v>
      </c>
      <c r="T26" s="120">
        <f>B24</f>
        <v>1</v>
      </c>
      <c r="U26" s="120">
        <v>0</v>
      </c>
      <c r="V26" s="120">
        <v>0</v>
      </c>
      <c r="W26" s="120">
        <v>0</v>
      </c>
      <c r="X26" s="119">
        <v>0</v>
      </c>
      <c r="Y26" s="99"/>
      <c r="Z26" s="120">
        <f>L26*S26+M26*S27+N26*S28+O26*S29+P26*S30+Q26*S31</f>
        <v>0</v>
      </c>
      <c r="AA26" s="120">
        <f>L26*T26+M26*T27+N26*T28+O26*T29+P26*T30+Q26*T31</f>
        <v>136920</v>
      </c>
      <c r="AB26" s="120">
        <f>L26*U26+M26*U27+N26*U28+O26*U29+P26*U30+Q26*U31</f>
        <v>0</v>
      </c>
      <c r="AC26" s="120">
        <f>L26*V26+M26*V27+N26*V28+O26*V29+P26*V30+Q26*V31</f>
        <v>0</v>
      </c>
      <c r="AD26" s="120">
        <f>L26*W26+M26*W27+N26*W28+O26*W29+P26*W30+Q26*W31</f>
        <v>-136920</v>
      </c>
      <c r="AE26" s="119">
        <f>L26*X26+M26*X27+N26*X28+O26*X29+P26*X30+Q26*X31</f>
        <v>0</v>
      </c>
      <c r="AF26" s="99"/>
      <c r="AG26" s="121">
        <v>0</v>
      </c>
      <c r="AH26" s="121"/>
      <c r="AI26" s="121">
        <f>Z26*AG26+AA26*AG27+AB26*AG28+AC26*AG29+AD26*AG30+AE26*AG31</f>
        <v>-15309.79031369821</v>
      </c>
      <c r="AJ26" s="173"/>
      <c r="AX26">
        <f t="shared" ref="AX26:AX31" si="4">G26</f>
        <v>1</v>
      </c>
      <c r="AY26">
        <f>AX26*1000+AY25</f>
        <v>1001</v>
      </c>
      <c r="AZ26">
        <f>AX26*1000+AZ25</f>
        <v>1002</v>
      </c>
      <c r="BA26">
        <f>AX26*1000+BA25</f>
        <v>1003</v>
      </c>
      <c r="BB26">
        <f>AX26*1000+BB25</f>
        <v>1007</v>
      </c>
      <c r="BC26">
        <f>AX26*1000+BC25</f>
        <v>1008</v>
      </c>
      <c r="BD26">
        <f>AX26*1000+BD25</f>
        <v>1009</v>
      </c>
    </row>
    <row r="27" spans="1:56" x14ac:dyDescent="0.25">
      <c r="A27" s="179">
        <f>(F24-J24)*B23*B24</f>
        <v>0</v>
      </c>
      <c r="B27" s="122">
        <f>(F24*B24^2+J24*B23^2)</f>
        <v>136920</v>
      </c>
      <c r="C27" s="112">
        <f>J23*B23</f>
        <v>0</v>
      </c>
      <c r="D27" s="112">
        <f>-(F24-J24)*B23*B24</f>
        <v>0</v>
      </c>
      <c r="E27" s="112">
        <f>-(F24*B24^2+J24*B23^2)</f>
        <v>-136920</v>
      </c>
      <c r="F27" s="112">
        <f>J23*B23</f>
        <v>0</v>
      </c>
      <c r="G27" s="112">
        <v>2</v>
      </c>
      <c r="H27" s="113"/>
      <c r="I27" s="113"/>
      <c r="J27" s="117"/>
      <c r="K27" s="99"/>
      <c r="L27" s="120">
        <v>0</v>
      </c>
      <c r="M27" s="120">
        <f>J24</f>
        <v>1828.3423872000003</v>
      </c>
      <c r="N27" s="120">
        <f>J23</f>
        <v>457085.59680000006</v>
      </c>
      <c r="O27" s="120">
        <v>0</v>
      </c>
      <c r="P27" s="120">
        <f>-J24</f>
        <v>-1828.3423872000003</v>
      </c>
      <c r="Q27" s="119">
        <f>J23</f>
        <v>457085.59680000006</v>
      </c>
      <c r="R27" s="99"/>
      <c r="S27" s="120">
        <f>-B24</f>
        <v>-1</v>
      </c>
      <c r="T27" s="120">
        <f>B23</f>
        <v>0</v>
      </c>
      <c r="U27" s="120">
        <v>0</v>
      </c>
      <c r="V27" s="120">
        <v>0</v>
      </c>
      <c r="W27" s="120">
        <v>0</v>
      </c>
      <c r="X27" s="119">
        <v>0</v>
      </c>
      <c r="Y27" s="99"/>
      <c r="Z27" s="120">
        <f>L27*S26+M27*S27+N27*S28+O27*S29+P27*S30+Q27*S31</f>
        <v>-1828.3423872000003</v>
      </c>
      <c r="AA27" s="120">
        <f>L27*T26+M27*T27+N27*T28+O27*T29+P27*T30+Q27*T31</f>
        <v>0</v>
      </c>
      <c r="AB27" s="120">
        <f>L27*U26+M27*U27+N27*U28+O27*U29+P27*U30+Q27*U31</f>
        <v>457085.59680000006</v>
      </c>
      <c r="AC27" s="120">
        <f>L27*V26+M27*V27+N27*V28+O27*V29+P27*V30+Q27*V31</f>
        <v>1828.3423872000003</v>
      </c>
      <c r="AD27" s="120">
        <f>L27*W26+M27*W27+N27*W28+O27*W29+P27*W30+Q27*W31</f>
        <v>0</v>
      </c>
      <c r="AE27" s="119">
        <f>L27*X26+M27*X27+N27*X28+O27*X29+P27*X30+Q27*X31</f>
        <v>457085.59680000006</v>
      </c>
      <c r="AF27" s="99"/>
      <c r="AG27" s="121">
        <v>0</v>
      </c>
      <c r="AH27" s="121"/>
      <c r="AI27" s="121">
        <f>Z27*AG26+AA27*AG27+AB27*AG28+AC27*AG29+AD27*AG30+AE27*AG31</f>
        <v>8526.1227876057928</v>
      </c>
      <c r="AJ27" s="173"/>
      <c r="AX27">
        <f t="shared" si="4"/>
        <v>2</v>
      </c>
      <c r="AY27">
        <f>AX27*1000+AY25</f>
        <v>2001</v>
      </c>
      <c r="AZ27">
        <f>AX27*1000+AZ25</f>
        <v>2002</v>
      </c>
      <c r="BA27">
        <f>AX27*1000+BA25</f>
        <v>2003</v>
      </c>
      <c r="BB27">
        <f>AX27*1000+BB25</f>
        <v>2007</v>
      </c>
      <c r="BC27">
        <f>AX27*1000+BC25</f>
        <v>2008</v>
      </c>
      <c r="BD27">
        <f>AX27*1000+BD25</f>
        <v>2009</v>
      </c>
    </row>
    <row r="28" spans="1:56" x14ac:dyDescent="0.25">
      <c r="A28" s="179">
        <f>-J23*B24</f>
        <v>-457085.59680000006</v>
      </c>
      <c r="B28" s="112">
        <f>J23*B23</f>
        <v>0</v>
      </c>
      <c r="C28" s="122">
        <f>H23</f>
        <v>152361865.60000002</v>
      </c>
      <c r="D28" s="112">
        <f>J23*B24</f>
        <v>457085.59680000006</v>
      </c>
      <c r="E28" s="112">
        <f>-J23*B23</f>
        <v>0</v>
      </c>
      <c r="F28" s="112">
        <f>H24</f>
        <v>76180932.800000012</v>
      </c>
      <c r="G28" s="112">
        <v>3</v>
      </c>
      <c r="H28" s="113"/>
      <c r="I28" s="113"/>
      <c r="J28" s="117"/>
      <c r="K28" s="99"/>
      <c r="L28" s="120">
        <v>0</v>
      </c>
      <c r="M28" s="120">
        <f>J23</f>
        <v>457085.59680000006</v>
      </c>
      <c r="N28" s="120">
        <f>H23</f>
        <v>152361865.60000002</v>
      </c>
      <c r="O28" s="120">
        <v>0</v>
      </c>
      <c r="P28" s="120">
        <f>-J23</f>
        <v>-457085.59680000006</v>
      </c>
      <c r="Q28" s="119">
        <f>H24</f>
        <v>76180932.800000012</v>
      </c>
      <c r="R28" s="99"/>
      <c r="S28" s="120">
        <v>0</v>
      </c>
      <c r="T28" s="120">
        <v>0</v>
      </c>
      <c r="U28" s="120">
        <v>1</v>
      </c>
      <c r="V28" s="120">
        <v>0</v>
      </c>
      <c r="W28" s="120">
        <v>0</v>
      </c>
      <c r="X28" s="119">
        <v>0</v>
      </c>
      <c r="Y28" s="99"/>
      <c r="Z28" s="120">
        <f>L28*S26+M28*S27+N28*S28+O28*S29+P28*S30+Q28*S31</f>
        <v>-457085.59680000006</v>
      </c>
      <c r="AA28" s="120">
        <f>L28*T26+M28*T27+N28*T28+O28*T29+P28*T30+Q28*T31</f>
        <v>0</v>
      </c>
      <c r="AB28" s="120">
        <f>L28*U26+M28*U27+N28*U28+O28*U29+P28*U30+Q28*U31</f>
        <v>152361865.60000002</v>
      </c>
      <c r="AC28" s="120">
        <f>L28*V26+M28*V27+N28*V28+O28*V29+P28*V30+Q28*V31</f>
        <v>457085.59680000006</v>
      </c>
      <c r="AD28" s="120">
        <f>L28*W26+M28*W27+N28*W28+O28*W29+P28*W30+Q28*W31</f>
        <v>0</v>
      </c>
      <c r="AE28" s="119">
        <f>L28*X26+M28*X27+N28*X28+O28*X29+P28*X30+Q28*X31</f>
        <v>76180932.800000012</v>
      </c>
      <c r="AF28" s="99"/>
      <c r="AG28" s="121">
        <v>0</v>
      </c>
      <c r="AH28" s="121"/>
      <c r="AI28" s="121">
        <f>Z28*AG26+AA28*AG27+AB28*AG28+AC28*AG29+AD28*AG30+AE28*AG31</f>
        <v>2566303.7747958014</v>
      </c>
      <c r="AJ28" s="173"/>
      <c r="AX28">
        <f t="shared" si="4"/>
        <v>3</v>
      </c>
      <c r="AY28">
        <f>AX28*1000+AY25</f>
        <v>3001</v>
      </c>
      <c r="AZ28">
        <f>AX28*1000+AZ25</f>
        <v>3002</v>
      </c>
      <c r="BA28">
        <f>AX28*1000+BA25</f>
        <v>3003</v>
      </c>
      <c r="BB28">
        <f>AX28*1000+BB25</f>
        <v>3007</v>
      </c>
      <c r="BC28">
        <f>AX28*1000+BC25</f>
        <v>3008</v>
      </c>
      <c r="BD28">
        <f>AX28*1000+BD25</f>
        <v>3009</v>
      </c>
    </row>
    <row r="29" spans="1:56" ht="15.75" x14ac:dyDescent="0.25">
      <c r="A29" s="179">
        <f>-(F24*B23^2+J24*B24^2)</f>
        <v>-1828.3423872000003</v>
      </c>
      <c r="B29" s="112">
        <f>-(F24-J24)*B23*B24</f>
        <v>0</v>
      </c>
      <c r="C29" s="112">
        <f>J23*B24</f>
        <v>457085.59680000006</v>
      </c>
      <c r="D29" s="122">
        <f>(F24*B23^2+J24*B24^2)</f>
        <v>1828.3423872000003</v>
      </c>
      <c r="E29" s="112">
        <f>(F24-J24)*B23*B24</f>
        <v>0</v>
      </c>
      <c r="F29" s="112">
        <f>J23*B24</f>
        <v>457085.59680000006</v>
      </c>
      <c r="G29" s="112">
        <v>7</v>
      </c>
      <c r="H29" s="113"/>
      <c r="I29" s="113"/>
      <c r="J29" s="117"/>
      <c r="K29" s="99"/>
      <c r="L29" s="120">
        <f>-F24</f>
        <v>-136920</v>
      </c>
      <c r="M29" s="120">
        <v>0</v>
      </c>
      <c r="N29" s="120">
        <v>0</v>
      </c>
      <c r="O29" s="120">
        <f>F24</f>
        <v>136920</v>
      </c>
      <c r="P29" s="120">
        <v>0</v>
      </c>
      <c r="Q29" s="119">
        <v>0</v>
      </c>
      <c r="R29" s="123" t="s">
        <v>126</v>
      </c>
      <c r="S29" s="120">
        <v>0</v>
      </c>
      <c r="T29" s="120">
        <v>0</v>
      </c>
      <c r="U29" s="120">
        <v>0</v>
      </c>
      <c r="V29" s="120">
        <f>B23</f>
        <v>0</v>
      </c>
      <c r="W29" s="120">
        <f>B24</f>
        <v>1</v>
      </c>
      <c r="X29" s="119">
        <v>0</v>
      </c>
      <c r="Y29" s="124" t="s">
        <v>58</v>
      </c>
      <c r="Z29" s="120">
        <f>L29*S26+M29*S27+N29*S28+O29*S29+P29*S30+Q29*S31</f>
        <v>0</v>
      </c>
      <c r="AA29" s="120">
        <f>L29*T26+M29*T27+N29*T28+O29*T29+P29*T30+Q29*T31</f>
        <v>-136920</v>
      </c>
      <c r="AB29" s="120">
        <f>L29*U26+M29*U27+N29*U28+O29*U29+P29*U30+Q29*U31</f>
        <v>0</v>
      </c>
      <c r="AC29" s="120">
        <f>L29*V26+M29*V27+N29*V28+O29*V29+P29*V30+Q29*V31</f>
        <v>0</v>
      </c>
      <c r="AD29" s="120">
        <f>L29*W26+M29*W27+N29*W28+O29*W29+P29*W30+Q29*W31</f>
        <v>136920</v>
      </c>
      <c r="AE29" s="119">
        <f>L29*X26+M29*X27+N29*X28+O29*X29+P29*X30+Q29*X31</f>
        <v>0</v>
      </c>
      <c r="AF29" s="123" t="s">
        <v>126</v>
      </c>
      <c r="AG29" s="166">
        <f>G6</f>
        <v>7.5168632628953329</v>
      </c>
      <c r="AH29" s="123" t="s">
        <v>58</v>
      </c>
      <c r="AI29" s="121">
        <f>Z29*AG26+AA29*AG27+AB29*AG28+AC29*AG29+AD29*AG30+AE29*AG31</f>
        <v>15309.79031369821</v>
      </c>
      <c r="AJ29" s="173"/>
      <c r="AX29">
        <f t="shared" si="4"/>
        <v>7</v>
      </c>
      <c r="AY29">
        <f>AX29*1000+AY25</f>
        <v>7001</v>
      </c>
      <c r="AZ29">
        <f>AX29*1000+AZ25</f>
        <v>7002</v>
      </c>
      <c r="BA29">
        <f>AX29*1000+BA25</f>
        <v>7003</v>
      </c>
      <c r="BB29">
        <f>AX29*1000+BB25</f>
        <v>7007</v>
      </c>
      <c r="BC29">
        <f>AX29*1000+BC25</f>
        <v>7008</v>
      </c>
      <c r="BD29">
        <f>AX29*1000+BD25</f>
        <v>7009</v>
      </c>
    </row>
    <row r="30" spans="1:56" x14ac:dyDescent="0.25">
      <c r="A30" s="179">
        <f>-(F24-J24)*B23*B24</f>
        <v>0</v>
      </c>
      <c r="B30" s="112">
        <f>-(F24*B24^2+J24*B23^2)</f>
        <v>-136920</v>
      </c>
      <c r="C30" s="112">
        <f>-J23*B23</f>
        <v>0</v>
      </c>
      <c r="D30" s="112">
        <f>(F24-J24)*B23*B24</f>
        <v>0</v>
      </c>
      <c r="E30" s="122">
        <f>(F24*B24^2+J24*B23^2)</f>
        <v>136920</v>
      </c>
      <c r="F30" s="112">
        <f>-J23*B23</f>
        <v>0</v>
      </c>
      <c r="G30" s="112">
        <v>8</v>
      </c>
      <c r="H30" s="113"/>
      <c r="I30" s="113"/>
      <c r="J30" s="117"/>
      <c r="K30" s="99"/>
      <c r="L30" s="120">
        <v>0</v>
      </c>
      <c r="M30" s="120">
        <f>-J24</f>
        <v>-1828.3423872000003</v>
      </c>
      <c r="N30" s="120">
        <f>-J23</f>
        <v>-457085.59680000006</v>
      </c>
      <c r="O30" s="120">
        <v>0</v>
      </c>
      <c r="P30" s="120">
        <f>J24</f>
        <v>1828.3423872000003</v>
      </c>
      <c r="Q30" s="119">
        <f>-J23</f>
        <v>-457085.59680000006</v>
      </c>
      <c r="R30" s="99"/>
      <c r="S30" s="120">
        <v>0</v>
      </c>
      <c r="T30" s="120">
        <v>0</v>
      </c>
      <c r="U30" s="120">
        <v>0</v>
      </c>
      <c r="V30" s="120">
        <f>-B24</f>
        <v>-1</v>
      </c>
      <c r="W30" s="120">
        <f>B23</f>
        <v>0</v>
      </c>
      <c r="X30" s="119">
        <v>0</v>
      </c>
      <c r="Y30" s="99"/>
      <c r="Z30" s="120">
        <f>L30*S26+M30*S27+N30*S28+O30*S29+P30*S30+Q30*S31</f>
        <v>1828.3423872000003</v>
      </c>
      <c r="AA30" s="120">
        <f>L30*T26+M30*T27+N30*T28+O30*T29+P30*T30+Q30*T31</f>
        <v>0</v>
      </c>
      <c r="AB30" s="120">
        <f>L30*U26+M30*U27+N30*U28+O30*U29+P30*U30+Q30*U31</f>
        <v>-457085.59680000006</v>
      </c>
      <c r="AC30" s="120">
        <f>L30*V26+M30*V27+N30*V28+O30*V29+P30*V30+Q30*V31</f>
        <v>-1828.3423872000003</v>
      </c>
      <c r="AD30" s="120">
        <f>L30*W26+M30*W27+N30*W28+O30*W29+P30*W30+Q30*W31</f>
        <v>0</v>
      </c>
      <c r="AE30" s="119">
        <f>L30*X26+M30*X27+N30*X28+O30*X29+P30*X30+Q30*X31</f>
        <v>-457085.59680000006</v>
      </c>
      <c r="AF30" s="99"/>
      <c r="AG30" s="121">
        <f>G7</f>
        <v>0.11181558803460567</v>
      </c>
      <c r="AH30" s="121"/>
      <c r="AI30" s="121">
        <f>Z30*AG26+AA30*AG27+AB30*AG28+AC30*AG29+AD30*AG30+AE30*AG31</f>
        <v>-8526.1227876057928</v>
      </c>
      <c r="AJ30" s="173"/>
      <c r="AX30">
        <f t="shared" si="4"/>
        <v>8</v>
      </c>
      <c r="AY30">
        <f>AX30*1000+AY25</f>
        <v>8001</v>
      </c>
      <c r="AZ30">
        <f>AX30*1000+AZ25</f>
        <v>8002</v>
      </c>
      <c r="BA30">
        <f>AX30*1000+BA25</f>
        <v>8003</v>
      </c>
      <c r="BB30">
        <f>AX30*1000+BB25</f>
        <v>8007</v>
      </c>
      <c r="BC30">
        <f>AX30*1000+BC25</f>
        <v>8008</v>
      </c>
      <c r="BD30">
        <f>AX30*1000+BD25</f>
        <v>8009</v>
      </c>
    </row>
    <row r="31" spans="1:56" ht="15.75" thickBot="1" x14ac:dyDescent="0.3">
      <c r="A31" s="181">
        <f>-J23*B24</f>
        <v>-457085.59680000006</v>
      </c>
      <c r="B31" s="125">
        <f>J23*B23</f>
        <v>0</v>
      </c>
      <c r="C31" s="125">
        <f>H24</f>
        <v>76180932.800000012</v>
      </c>
      <c r="D31" s="125">
        <f>J23*B24</f>
        <v>457085.59680000006</v>
      </c>
      <c r="E31" s="125">
        <f>-J23*B23</f>
        <v>0</v>
      </c>
      <c r="F31" s="126">
        <f>H23</f>
        <v>152361865.60000002</v>
      </c>
      <c r="G31" s="125">
        <v>9</v>
      </c>
      <c r="H31" s="127"/>
      <c r="I31" s="127"/>
      <c r="J31" s="128"/>
      <c r="K31" s="99"/>
      <c r="L31" s="120">
        <v>0</v>
      </c>
      <c r="M31" s="120">
        <f>J23</f>
        <v>457085.59680000006</v>
      </c>
      <c r="N31" s="120">
        <f>H24</f>
        <v>76180932.800000012</v>
      </c>
      <c r="O31" s="120">
        <v>0</v>
      </c>
      <c r="P31" s="120">
        <f>-J23</f>
        <v>-457085.59680000006</v>
      </c>
      <c r="Q31" s="119">
        <f>H23</f>
        <v>152361865.60000002</v>
      </c>
      <c r="R31" s="99"/>
      <c r="S31" s="120">
        <v>0</v>
      </c>
      <c r="T31" s="120">
        <v>0</v>
      </c>
      <c r="U31" s="120">
        <v>0</v>
      </c>
      <c r="V31" s="120">
        <v>0</v>
      </c>
      <c r="W31" s="120">
        <v>0</v>
      </c>
      <c r="X31" s="119">
        <v>1</v>
      </c>
      <c r="Y31" s="99"/>
      <c r="Z31" s="120">
        <f>L31*S26+M31*S27+N31*S28+O31*S29+P31*S30+Q31*S31</f>
        <v>-457085.59680000006</v>
      </c>
      <c r="AA31" s="120">
        <f>L31*T26+M31*T27+N31*T28+O31*T29+P31*T30+Q31*T31</f>
        <v>0</v>
      </c>
      <c r="AB31" s="120">
        <f>L31*U26+M31*U27+N31*U28+O31*U29+P31*U30+Q31*U31</f>
        <v>76180932.800000012</v>
      </c>
      <c r="AC31" s="120">
        <f>L31*V26+M31*V27+N31*V28+O31*V29+P31*V30+Q31*V31</f>
        <v>457085.59680000006</v>
      </c>
      <c r="AD31" s="120">
        <f>L31*W26+M31*W27+N31*W28+O31*W29+P31*W30+Q31*W31</f>
        <v>0</v>
      </c>
      <c r="AE31" s="119">
        <f>L31*X26+M31*X27+N31*X28+O31*X29+P31*X30+Q31*X31</f>
        <v>152361865.60000002</v>
      </c>
      <c r="AF31" s="99"/>
      <c r="AG31" s="121">
        <f>G8</f>
        <v>-1.1414223006057852E-2</v>
      </c>
      <c r="AH31" s="121"/>
      <c r="AI31" s="121">
        <f>Z31*AG26+AA31*AG27+AB31*AG28+AC31*AG29+AD31*AG30+AE31*AG31</f>
        <v>1696757.6190070943</v>
      </c>
      <c r="AJ31" s="173"/>
      <c r="AX31">
        <f t="shared" si="4"/>
        <v>9</v>
      </c>
      <c r="AY31">
        <f>AX31*1000+AY25</f>
        <v>9001</v>
      </c>
      <c r="AZ31">
        <f>AX31*1000+AZ25</f>
        <v>9002</v>
      </c>
      <c r="BA31">
        <f>AX31*1000+BA25</f>
        <v>9003</v>
      </c>
      <c r="BB31">
        <f>AX31*1000+BB25</f>
        <v>9007</v>
      </c>
      <c r="BC31">
        <f>AX31*1000+BC25</f>
        <v>9008</v>
      </c>
      <c r="BD31">
        <f>AX31*1000+BD25</f>
        <v>9009</v>
      </c>
    </row>
    <row r="32" spans="1:56" x14ac:dyDescent="0.25">
      <c r="A32" s="177" t="s">
        <v>118</v>
      </c>
      <c r="B32" s="108">
        <f>(D20-B20)/F20</f>
        <v>0.94868329805051377</v>
      </c>
      <c r="C32" s="109" t="s">
        <v>119</v>
      </c>
      <c r="D32" s="108">
        <f>$B$7+0.5*$B$10</f>
        <v>18.535</v>
      </c>
      <c r="E32" s="109" t="s">
        <v>30</v>
      </c>
      <c r="F32" s="110">
        <f>2*((($B$6*($B$7)^3)/12)+($B$6*$B$7)*($B$10+2*$B$7-0.5*$B$7-D32)^2)+($B$8*($B$10)^3)/12</f>
        <v>5298.9826476250009</v>
      </c>
      <c r="G32" s="109" t="s">
        <v>120</v>
      </c>
      <c r="H32" s="150">
        <f>4*$B$14*F32/F20</f>
        <v>70378788.682458609</v>
      </c>
      <c r="I32" s="109" t="s">
        <v>121</v>
      </c>
      <c r="J32" s="111">
        <f>6*$B$14*F32/(F20^2)</f>
        <v>166917.95340018751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173"/>
    </row>
    <row r="33" spans="1:56" x14ac:dyDescent="0.25">
      <c r="A33" s="178" t="s">
        <v>122</v>
      </c>
      <c r="B33" s="112">
        <f>(E20-C20)/F20</f>
        <v>-0.31622776601683789</v>
      </c>
      <c r="C33" s="113" t="s">
        <v>13</v>
      </c>
      <c r="D33" s="114">
        <f>(2*$B$6*$B$7)+($B$10*$B$8)</f>
        <v>28.035000000000004</v>
      </c>
      <c r="E33" s="113" t="s">
        <v>123</v>
      </c>
      <c r="F33" s="151">
        <f>$B$14*D33/F20</f>
        <v>93087.176912961542</v>
      </c>
      <c r="G33" s="113" t="s">
        <v>124</v>
      </c>
      <c r="H33" s="151">
        <f>2*$B$14*F32/F20</f>
        <v>35189394.341229305</v>
      </c>
      <c r="I33" s="113" t="s">
        <v>125</v>
      </c>
      <c r="J33" s="115">
        <f>12*$B$14*F32/(F20^3)</f>
        <v>527.84091511843951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173"/>
    </row>
    <row r="34" spans="1:56" x14ac:dyDescent="0.25">
      <c r="A34" s="179">
        <f>G35</f>
        <v>7</v>
      </c>
      <c r="B34" s="112">
        <f>G36</f>
        <v>8</v>
      </c>
      <c r="C34" s="112">
        <f>G37</f>
        <v>9</v>
      </c>
      <c r="D34" s="112">
        <f>G38</f>
        <v>10</v>
      </c>
      <c r="E34" s="112">
        <f>G39</f>
        <v>11</v>
      </c>
      <c r="F34" s="112">
        <f>G40</f>
        <v>12</v>
      </c>
      <c r="G34" s="113"/>
      <c r="H34" s="113"/>
      <c r="I34" s="113"/>
      <c r="J34" s="116">
        <v>2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173"/>
      <c r="AY34">
        <f>AX35</f>
        <v>7</v>
      </c>
      <c r="AZ34">
        <f>AX36</f>
        <v>8</v>
      </c>
      <c r="BA34">
        <f>AX37</f>
        <v>9</v>
      </c>
      <c r="BB34">
        <f>AX38</f>
        <v>10</v>
      </c>
      <c r="BC34">
        <f>AX39</f>
        <v>11</v>
      </c>
      <c r="BD34">
        <f>AX40</f>
        <v>12</v>
      </c>
    </row>
    <row r="35" spans="1:56" x14ac:dyDescent="0.25">
      <c r="A35" s="180">
        <f>(F33*B32^2+J33*B33^2)</f>
        <v>83831.243313177227</v>
      </c>
      <c r="B35" s="112">
        <f>(F33-J33)*B32*B33</f>
        <v>-27767.800799352925</v>
      </c>
      <c r="C35" s="112">
        <f>-J32*B33</f>
        <v>52784.091511843944</v>
      </c>
      <c r="D35" s="112">
        <f>-(F33*B32^2+J33*B33^2)</f>
        <v>-83831.243313177227</v>
      </c>
      <c r="E35" s="112">
        <f>-(F33-J33)*B32*B33</f>
        <v>27767.800799352925</v>
      </c>
      <c r="F35" s="112">
        <f>-J32*B33</f>
        <v>52784.091511843944</v>
      </c>
      <c r="G35" s="112">
        <v>7</v>
      </c>
      <c r="H35" s="113"/>
      <c r="I35" s="113"/>
      <c r="J35" s="117"/>
      <c r="K35" s="99"/>
      <c r="L35" s="120">
        <f>F33</f>
        <v>93087.176912961542</v>
      </c>
      <c r="M35" s="120">
        <v>0</v>
      </c>
      <c r="N35" s="120">
        <v>0</v>
      </c>
      <c r="O35" s="120">
        <f>-F33</f>
        <v>-93087.176912961542</v>
      </c>
      <c r="P35" s="120">
        <v>0</v>
      </c>
      <c r="Q35" s="119">
        <v>0</v>
      </c>
      <c r="R35" s="99"/>
      <c r="S35" s="120">
        <f>B32</f>
        <v>0.94868329805051377</v>
      </c>
      <c r="T35" s="120">
        <f>B33</f>
        <v>-0.31622776601683789</v>
      </c>
      <c r="U35" s="120">
        <v>0</v>
      </c>
      <c r="V35" s="120">
        <v>0</v>
      </c>
      <c r="W35" s="120">
        <v>0</v>
      </c>
      <c r="X35" s="119">
        <v>0</v>
      </c>
      <c r="Y35" s="99"/>
      <c r="Z35" s="120">
        <f>L35*S35+M35*S36+N35*S37+O35*S38+P35*S39+Q35*S40</f>
        <v>88310.25</v>
      </c>
      <c r="AA35" s="120">
        <f>L35*T35+M35*T36+N35*T37+O35*T38+P35*T39+Q35*T40</f>
        <v>-29436.749999999996</v>
      </c>
      <c r="AB35" s="120">
        <f>L35*U35+M35*U36+N35*U37+O35*U38+P35*U39+Q35*U40</f>
        <v>0</v>
      </c>
      <c r="AC35" s="120">
        <f>L35*V35+M35*V36+N35*V37+O35*V38+P35*V39+Q35*V40</f>
        <v>-88310.25</v>
      </c>
      <c r="AD35" s="120">
        <f>L35*W35+M35*W36+N35*W37+O35*W38+P35*W39+Q35*W40</f>
        <v>29436.749999999996</v>
      </c>
      <c r="AE35" s="119">
        <f>L35*X35+M35*X36+N35*X37+O35*X38+P35*X39+Q35*X40</f>
        <v>0</v>
      </c>
      <c r="AF35" s="99"/>
      <c r="AG35" s="166">
        <f t="shared" ref="AG35:AG40" si="5">G6</f>
        <v>7.5168632628953329</v>
      </c>
      <c r="AH35" s="121"/>
      <c r="AI35" s="121">
        <f>Z35*AG35+AA35*AG36+AB35*AG37+AC35*AG38+AD35*AG39+AE35*AG40</f>
        <v>29750.578936093338</v>
      </c>
      <c r="AJ35" s="173"/>
      <c r="AX35">
        <f t="shared" ref="AX35:AX40" si="6">G35</f>
        <v>7</v>
      </c>
      <c r="AY35">
        <f>AX35*1000+AY34</f>
        <v>7007</v>
      </c>
      <c r="AZ35">
        <f>AX35*1000+AZ34</f>
        <v>7008</v>
      </c>
      <c r="BA35">
        <f>AX35*1000+BA34</f>
        <v>7009</v>
      </c>
      <c r="BB35">
        <f>AX35*1000+BB34</f>
        <v>7010</v>
      </c>
      <c r="BC35">
        <f>AX35*1000+BC34</f>
        <v>7011</v>
      </c>
      <c r="BD35">
        <f>AX35*1000+BD34</f>
        <v>7012</v>
      </c>
    </row>
    <row r="36" spans="1:56" x14ac:dyDescent="0.25">
      <c r="A36" s="179">
        <f>(F33-J33)*B32*B33</f>
        <v>-27767.800799352925</v>
      </c>
      <c r="B36" s="122">
        <f>(F33*B33^2+J33*B32^2)</f>
        <v>9783.7745149027469</v>
      </c>
      <c r="C36" s="112">
        <f>J32*B32</f>
        <v>158352.27453553185</v>
      </c>
      <c r="D36" s="112">
        <f>-(F33-J33)*B32*B33</f>
        <v>27767.800799352925</v>
      </c>
      <c r="E36" s="112">
        <f>-(F33*B33^2+J33*B32^2)</f>
        <v>-9783.7745149027469</v>
      </c>
      <c r="F36" s="112">
        <f>J32*B32</f>
        <v>158352.27453553185</v>
      </c>
      <c r="G36" s="112">
        <v>8</v>
      </c>
      <c r="H36" s="113"/>
      <c r="I36" s="113"/>
      <c r="J36" s="117"/>
      <c r="K36" s="99"/>
      <c r="L36" s="120">
        <v>0</v>
      </c>
      <c r="M36" s="120">
        <f>J33</f>
        <v>527.84091511843951</v>
      </c>
      <c r="N36" s="120">
        <f>J32</f>
        <v>166917.95340018751</v>
      </c>
      <c r="O36" s="120">
        <v>0</v>
      </c>
      <c r="P36" s="120">
        <f>-J33</f>
        <v>-527.84091511843951</v>
      </c>
      <c r="Q36" s="119">
        <f>J32</f>
        <v>166917.95340018751</v>
      </c>
      <c r="R36" s="99"/>
      <c r="S36" s="120">
        <f>-B33</f>
        <v>0.31622776601683789</v>
      </c>
      <c r="T36" s="120">
        <f>B32</f>
        <v>0.94868329805051377</v>
      </c>
      <c r="U36" s="120">
        <v>0</v>
      </c>
      <c r="V36" s="120">
        <v>0</v>
      </c>
      <c r="W36" s="120">
        <v>0</v>
      </c>
      <c r="X36" s="119">
        <v>0</v>
      </c>
      <c r="Y36" s="99"/>
      <c r="Z36" s="120">
        <f>L36*S35+M36*S36+N36*S37+O36*S38+P36*S39+Q36*S40</f>
        <v>166.91795340018749</v>
      </c>
      <c r="AA36" s="120">
        <f>L36*T35+M36*T36+N36*T37+O36*T38+P36*T39+Q36*T40</f>
        <v>500.75386020056249</v>
      </c>
      <c r="AB36" s="120">
        <f>L36*U35+M36*U36+N36*U37+O36*U38+P36*U39+Q36*U40</f>
        <v>166917.95340018751</v>
      </c>
      <c r="AC36" s="120">
        <f>L36*V35+M36*V36+N36*V37+O36*V38+P36*V39+Q36*V40</f>
        <v>-166.91795340018749</v>
      </c>
      <c r="AD36" s="120">
        <f>L36*W35+M36*W36+N36*W37+O36*W38+P36*W39+Q36*W40</f>
        <v>-500.75386020056249</v>
      </c>
      <c r="AE36" s="119">
        <f>L36*X35+M36*X36+N36*X37+O36*X38+P36*X39+Q36*X40</f>
        <v>166917.95340018751</v>
      </c>
      <c r="AF36" s="99"/>
      <c r="AG36" s="121">
        <f t="shared" si="5"/>
        <v>0.11181558803460567</v>
      </c>
      <c r="AH36" s="121"/>
      <c r="AI36" s="121">
        <f>Z36*AG35+AA36*AG36+AB36*AG37+AC36*AG38+AD36*AG39+AE36*AG40</f>
        <v>-6221.0763182589071</v>
      </c>
      <c r="AJ36" s="173"/>
      <c r="AX36">
        <f t="shared" si="6"/>
        <v>8</v>
      </c>
      <c r="AY36">
        <f>AX36*1000+AY34</f>
        <v>8007</v>
      </c>
      <c r="AZ36">
        <f>AX36*1000+AZ34</f>
        <v>8008</v>
      </c>
      <c r="BA36">
        <f>AX36*1000+BA34</f>
        <v>8009</v>
      </c>
      <c r="BB36">
        <f>AX36*1000+BB34</f>
        <v>8010</v>
      </c>
      <c r="BC36">
        <f>AX36*1000+BC34</f>
        <v>8011</v>
      </c>
      <c r="BD36">
        <f>AX36*1000+BD34</f>
        <v>8012</v>
      </c>
    </row>
    <row r="37" spans="1:56" x14ac:dyDescent="0.25">
      <c r="A37" s="179">
        <f>-J32*B33</f>
        <v>52784.091511843944</v>
      </c>
      <c r="B37" s="112">
        <f>J32*B32</f>
        <v>158352.27453553185</v>
      </c>
      <c r="C37" s="122">
        <f>H32</f>
        <v>70378788.682458609</v>
      </c>
      <c r="D37" s="112">
        <f>J32*B33</f>
        <v>-52784.091511843944</v>
      </c>
      <c r="E37" s="112">
        <f>-J32*B32</f>
        <v>-158352.27453553185</v>
      </c>
      <c r="F37" s="112">
        <f>H33</f>
        <v>35189394.341229305</v>
      </c>
      <c r="G37" s="112">
        <v>9</v>
      </c>
      <c r="H37" s="113"/>
      <c r="I37" s="113"/>
      <c r="J37" s="117"/>
      <c r="K37" s="99"/>
      <c r="L37" s="120">
        <v>0</v>
      </c>
      <c r="M37" s="120">
        <f>J32</f>
        <v>166917.95340018751</v>
      </c>
      <c r="N37" s="120">
        <f>H32</f>
        <v>70378788.682458609</v>
      </c>
      <c r="O37" s="120">
        <v>0</v>
      </c>
      <c r="P37" s="120">
        <f>-J32</f>
        <v>-166917.95340018751</v>
      </c>
      <c r="Q37" s="119">
        <f>H33</f>
        <v>35189394.341229305</v>
      </c>
      <c r="R37" s="99"/>
      <c r="S37" s="120">
        <v>0</v>
      </c>
      <c r="T37" s="120">
        <v>0</v>
      </c>
      <c r="U37" s="120">
        <v>1</v>
      </c>
      <c r="V37" s="120">
        <v>0</v>
      </c>
      <c r="W37" s="120">
        <v>0</v>
      </c>
      <c r="X37" s="119">
        <v>0</v>
      </c>
      <c r="Y37" s="99"/>
      <c r="Z37" s="120">
        <f>L37*S35+M37*S36+N37*S37+O37*S38+P37*S39+Q37*S40</f>
        <v>52784.091511843944</v>
      </c>
      <c r="AA37" s="120">
        <f>L37*T35+M37*T36+N37*T37+O37*T38+P37*T39+Q37*T40</f>
        <v>158352.27453553185</v>
      </c>
      <c r="AB37" s="120">
        <f>L37*U35+M37*U36+N37*U37+O37*U38+P37*U39+Q37*U40</f>
        <v>70378788.682458609</v>
      </c>
      <c r="AC37" s="120">
        <f>L37*V35+M37*V36+N37*V37+O37*V38+P37*V39+Q37*V40</f>
        <v>-52784.091511843944</v>
      </c>
      <c r="AD37" s="120">
        <f>L37*W35+M37*W36+N37*W37+O37*W38+P37*W39+Q37*W40</f>
        <v>-158352.27453553185</v>
      </c>
      <c r="AE37" s="119">
        <f>L37*X35+M37*X36+N37*X37+O37*X38+P37*X39+Q37*X40</f>
        <v>35189394.341229305</v>
      </c>
      <c r="AF37" s="99"/>
      <c r="AG37" s="121">
        <f t="shared" si="5"/>
        <v>-1.1414223006057852E-2</v>
      </c>
      <c r="AH37" s="121"/>
      <c r="AI37" s="121">
        <f>Z37*AG35+AA37*AG36+AB37*AG37+AC37*AG38+AD37*AG39+AE37*AG40</f>
        <v>-1696757.6190070948</v>
      </c>
      <c r="AJ37" s="173"/>
      <c r="AX37">
        <f t="shared" si="6"/>
        <v>9</v>
      </c>
      <c r="AY37">
        <f>AX37*1000+AY34</f>
        <v>9007</v>
      </c>
      <c r="AZ37">
        <f>AX37*1000+AZ34</f>
        <v>9008</v>
      </c>
      <c r="BA37">
        <f>AX37*1000+BA34</f>
        <v>9009</v>
      </c>
      <c r="BB37">
        <f>AX37*1000+BB34</f>
        <v>9010</v>
      </c>
      <c r="BC37">
        <f>AX37*1000+BC34</f>
        <v>9011</v>
      </c>
      <c r="BD37">
        <f>AX37*1000+BD34</f>
        <v>9012</v>
      </c>
    </row>
    <row r="38" spans="1:56" ht="15.75" x14ac:dyDescent="0.25">
      <c r="A38" s="179">
        <f>-(F33*B32^2+J33*B33^2)</f>
        <v>-83831.243313177227</v>
      </c>
      <c r="B38" s="112">
        <f>-(F33-J33)*B32*B33</f>
        <v>27767.800799352925</v>
      </c>
      <c r="C38" s="112">
        <f>J32*B33</f>
        <v>-52784.091511843944</v>
      </c>
      <c r="D38" s="122">
        <f>(F33*B32^2+J33*B33^2)</f>
        <v>83831.243313177227</v>
      </c>
      <c r="E38" s="112">
        <f>(F33-J33)*B32*B33</f>
        <v>-27767.800799352925</v>
      </c>
      <c r="F38" s="112">
        <f>J32*B33</f>
        <v>-52784.091511843944</v>
      </c>
      <c r="G38" s="112">
        <v>10</v>
      </c>
      <c r="H38" s="113"/>
      <c r="I38" s="113"/>
      <c r="J38" s="117"/>
      <c r="K38" s="99"/>
      <c r="L38" s="120">
        <f>-F33</f>
        <v>-93087.176912961542</v>
      </c>
      <c r="M38" s="120">
        <v>0</v>
      </c>
      <c r="N38" s="120">
        <v>0</v>
      </c>
      <c r="O38" s="120">
        <f>F33</f>
        <v>93087.176912961542</v>
      </c>
      <c r="P38" s="120">
        <v>0</v>
      </c>
      <c r="Q38" s="119">
        <v>0</v>
      </c>
      <c r="R38" s="123" t="s">
        <v>126</v>
      </c>
      <c r="S38" s="120">
        <v>0</v>
      </c>
      <c r="T38" s="120">
        <v>0</v>
      </c>
      <c r="U38" s="120">
        <v>0</v>
      </c>
      <c r="V38" s="120">
        <f>B32</f>
        <v>0.94868329805051377</v>
      </c>
      <c r="W38" s="120">
        <f>B33</f>
        <v>-0.31622776601683789</v>
      </c>
      <c r="X38" s="119">
        <v>0</v>
      </c>
      <c r="Y38" s="124" t="s">
        <v>58</v>
      </c>
      <c r="Z38" s="120">
        <f>L38*S35+M38*S36+N38*S37+O38*S38+P38*S39+Q38*S40</f>
        <v>-88310.25</v>
      </c>
      <c r="AA38" s="120">
        <f>L38*T35+M38*T36+N38*T37+O38*T38+P38*T39+Q38*T40</f>
        <v>29436.749999999996</v>
      </c>
      <c r="AB38" s="120">
        <f>L38*U35+M38*U36+N38*U37+O38*U38+P38*U39+Q38*U40</f>
        <v>0</v>
      </c>
      <c r="AC38" s="120">
        <f>L38*V35+M38*V36+N38*V37+O38*V38+P38*V39+Q38*V40</f>
        <v>88310.25</v>
      </c>
      <c r="AD38" s="120">
        <f>L38*W35+M38*W36+N38*W37+O38*W38+P38*W39+Q38*W40</f>
        <v>-29436.749999999996</v>
      </c>
      <c r="AE38" s="119">
        <f>L38*X35+M38*X36+N38*X37+O38*X38+P38*X39+Q38*X40</f>
        <v>0</v>
      </c>
      <c r="AF38" s="123" t="s">
        <v>126</v>
      </c>
      <c r="AG38" s="121">
        <f>G9</f>
        <v>7.1203412402103368</v>
      </c>
      <c r="AH38" s="123" t="s">
        <v>58</v>
      </c>
      <c r="AI38" s="121">
        <f>Z38*AG35+AA38*AG36+AB38*AG37+AC38*AG38+AD38*AG39+AE38*AG40</f>
        <v>-29750.578936093338</v>
      </c>
      <c r="AJ38" s="173"/>
      <c r="AX38">
        <f t="shared" si="6"/>
        <v>10</v>
      </c>
      <c r="AY38">
        <f>AX38*1000+AY34</f>
        <v>10007</v>
      </c>
      <c r="AZ38">
        <f>AX38*1000+AZ34</f>
        <v>10008</v>
      </c>
      <c r="BA38">
        <f>AX38*1000+BA34</f>
        <v>10009</v>
      </c>
      <c r="BB38">
        <f>AX38*1000+BB34</f>
        <v>10010</v>
      </c>
      <c r="BC38">
        <f>AX38*1000+BC34</f>
        <v>10011</v>
      </c>
      <c r="BD38">
        <f>AX38*1000+BD34</f>
        <v>10012</v>
      </c>
    </row>
    <row r="39" spans="1:56" x14ac:dyDescent="0.25">
      <c r="A39" s="179">
        <f>-(F33-J33)*B32*B33</f>
        <v>27767.800799352925</v>
      </c>
      <c r="B39" s="112">
        <f>-(F33*B33^2+J33*B32^2)</f>
        <v>-9783.7745149027469</v>
      </c>
      <c r="C39" s="112">
        <f>-J32*B32</f>
        <v>-158352.27453553185</v>
      </c>
      <c r="D39" s="112">
        <f>(F33-J33)*B32*B33</f>
        <v>-27767.800799352925</v>
      </c>
      <c r="E39" s="122">
        <f>(F33*B33^2+J33*B32^2)</f>
        <v>9783.7745149027469</v>
      </c>
      <c r="F39" s="112">
        <f>-J32*B32</f>
        <v>-158352.27453553185</v>
      </c>
      <c r="G39" s="112">
        <v>11</v>
      </c>
      <c r="H39" s="113"/>
      <c r="I39" s="113"/>
      <c r="J39" s="117"/>
      <c r="K39" s="99"/>
      <c r="L39" s="120">
        <v>0</v>
      </c>
      <c r="M39" s="120">
        <f>-J33</f>
        <v>-527.84091511843951</v>
      </c>
      <c r="N39" s="120">
        <f>-J32</f>
        <v>-166917.95340018751</v>
      </c>
      <c r="O39" s="120">
        <v>0</v>
      </c>
      <c r="P39" s="120">
        <f>J33</f>
        <v>527.84091511843951</v>
      </c>
      <c r="Q39" s="119">
        <f>-J32</f>
        <v>-166917.95340018751</v>
      </c>
      <c r="R39" s="99"/>
      <c r="S39" s="120">
        <v>0</v>
      </c>
      <c r="T39" s="120">
        <v>0</v>
      </c>
      <c r="U39" s="120">
        <v>0</v>
      </c>
      <c r="V39" s="120">
        <f>-B33</f>
        <v>0.31622776601683789</v>
      </c>
      <c r="W39" s="120">
        <f>B32</f>
        <v>0.94868329805051377</v>
      </c>
      <c r="X39" s="119">
        <v>0</v>
      </c>
      <c r="Y39" s="99"/>
      <c r="Z39" s="120">
        <f>L39*S35+M39*S36+N39*S37+O39*S38+P39*S39+Q39*S40</f>
        <v>-166.91795340018749</v>
      </c>
      <c r="AA39" s="120">
        <f>L39*T35+M39*T36+N39*T37+O39*T38+P39*T39+Q39*T40</f>
        <v>-500.75386020056249</v>
      </c>
      <c r="AB39" s="120">
        <f>L39*U35+M39*U36+N39*U37+O39*U38+P39*U39+Q39*U40</f>
        <v>-166917.95340018751</v>
      </c>
      <c r="AC39" s="120">
        <f>L39*V35+M39*V36+N39*V37+O39*V38+P39*V39+Q39*V40</f>
        <v>166.91795340018749</v>
      </c>
      <c r="AD39" s="120">
        <f>L39*W35+M39*W36+N39*W37+O39*W38+P39*W39+Q39*W40</f>
        <v>500.75386020056249</v>
      </c>
      <c r="AE39" s="119">
        <f>L39*X35+M39*X36+N39*X37+O39*X38+P39*X39+Q39*X40</f>
        <v>-166917.95340018751</v>
      </c>
      <c r="AF39" s="99"/>
      <c r="AG39" s="121">
        <f>G10</f>
        <v>-6.7089352820763407E-2</v>
      </c>
      <c r="AH39" s="121"/>
      <c r="AI39" s="121">
        <f>Z39*AG35+AA39*AG36+AB39*AG37+AC39*AG38+AD39*AG39+AE39*AG40</f>
        <v>6221.0763182589071</v>
      </c>
      <c r="AJ39" s="173"/>
      <c r="AX39">
        <f t="shared" si="6"/>
        <v>11</v>
      </c>
      <c r="AY39">
        <f>AX39*1000+AY34</f>
        <v>11007</v>
      </c>
      <c r="AZ39">
        <f>AX39*1000+AZ34</f>
        <v>11008</v>
      </c>
      <c r="BA39">
        <f>AX39*1000+BA34</f>
        <v>11009</v>
      </c>
      <c r="BB39">
        <f>AX39*1000+BB34</f>
        <v>11010</v>
      </c>
      <c r="BC39">
        <f>AX39*1000+BC34</f>
        <v>11011</v>
      </c>
      <c r="BD39">
        <f>AX39*1000+BD34</f>
        <v>11012</v>
      </c>
    </row>
    <row r="40" spans="1:56" ht="15.75" thickBot="1" x14ac:dyDescent="0.3">
      <c r="A40" s="181">
        <f>-J32*B33</f>
        <v>52784.091511843944</v>
      </c>
      <c r="B40" s="125">
        <f>J32*B32</f>
        <v>158352.27453553185</v>
      </c>
      <c r="C40" s="125">
        <f>H33</f>
        <v>35189394.341229305</v>
      </c>
      <c r="D40" s="125">
        <f>J32*B33</f>
        <v>-52784.091511843944</v>
      </c>
      <c r="E40" s="125">
        <f>-J32*B32</f>
        <v>-158352.27453553185</v>
      </c>
      <c r="F40" s="126">
        <f>H32</f>
        <v>70378788.682458609</v>
      </c>
      <c r="G40" s="125">
        <v>12</v>
      </c>
      <c r="H40" s="127"/>
      <c r="I40" s="127"/>
      <c r="J40" s="128"/>
      <c r="K40" s="99"/>
      <c r="L40" s="120">
        <v>0</v>
      </c>
      <c r="M40" s="120">
        <f>J32</f>
        <v>166917.95340018751</v>
      </c>
      <c r="N40" s="120">
        <f>H33</f>
        <v>35189394.341229305</v>
      </c>
      <c r="O40" s="120">
        <v>0</v>
      </c>
      <c r="P40" s="120">
        <f>-J32</f>
        <v>-166917.95340018751</v>
      </c>
      <c r="Q40" s="119">
        <f>H32</f>
        <v>70378788.682458609</v>
      </c>
      <c r="R40" s="99"/>
      <c r="S40" s="120">
        <v>0</v>
      </c>
      <c r="T40" s="120">
        <v>0</v>
      </c>
      <c r="U40" s="120">
        <v>0</v>
      </c>
      <c r="V40" s="120">
        <v>0</v>
      </c>
      <c r="W40" s="120">
        <v>0</v>
      </c>
      <c r="X40" s="119">
        <v>1</v>
      </c>
      <c r="Y40" s="99"/>
      <c r="Z40" s="120">
        <f>L40*S35+M40*S36+N40*S37+O40*S38+P40*S39+Q40*S40</f>
        <v>52784.091511843944</v>
      </c>
      <c r="AA40" s="120">
        <f>L40*T35+M40*T36+N40*T37+O40*T38+P40*T39+Q40*T40</f>
        <v>158352.27453553185</v>
      </c>
      <c r="AB40" s="120">
        <f>L40*U35+M40*U36+N40*U37+O40*U38+P40*U39+Q40*U40</f>
        <v>35189394.341229305</v>
      </c>
      <c r="AC40" s="120">
        <f>L40*V35+M40*V36+N40*V37+O40*V38+P40*V39+Q40*V40</f>
        <v>-52784.091511843944</v>
      </c>
      <c r="AD40" s="120">
        <f>L40*W35+M40*W36+N40*W37+O40*W38+P40*W39+Q40*W40</f>
        <v>-158352.27453553185</v>
      </c>
      <c r="AE40" s="119">
        <f>L40*X35+M40*X36+N40*X37+O40*X38+P40*X39+Q40*X40</f>
        <v>70378788.682458609</v>
      </c>
      <c r="AF40" s="99"/>
      <c r="AG40" s="121">
        <f t="shared" si="5"/>
        <v>-2.6789278610196119E-2</v>
      </c>
      <c r="AH40" s="121"/>
      <c r="AI40" s="121">
        <f>Z40*AG35+AA40*AG36+AB40*AG37+AC40*AG38+AD40*AG39+AE40*AG40</f>
        <v>-2237796.5136794439</v>
      </c>
      <c r="AJ40" s="173"/>
      <c r="AX40">
        <f t="shared" si="6"/>
        <v>12</v>
      </c>
      <c r="AY40">
        <f>AX40*1000+AY34</f>
        <v>12007</v>
      </c>
      <c r="AZ40">
        <f>AX40*1000+AZ34</f>
        <v>12008</v>
      </c>
      <c r="BA40">
        <f>AX40*1000+BA34</f>
        <v>12009</v>
      </c>
      <c r="BB40">
        <f>AX40*1000+BB34</f>
        <v>12010</v>
      </c>
      <c r="BC40">
        <f>AX40*1000+BC34</f>
        <v>12011</v>
      </c>
      <c r="BD40">
        <f>AX40*1000+BD34</f>
        <v>12012</v>
      </c>
    </row>
    <row r="41" spans="1:56" x14ac:dyDescent="0.25">
      <c r="A41" s="177" t="s">
        <v>118</v>
      </c>
      <c r="B41" s="108">
        <f>(D21-B21)/F21</f>
        <v>0</v>
      </c>
      <c r="C41" s="109" t="s">
        <v>119</v>
      </c>
      <c r="D41" s="108">
        <f>$B$7+0.5*$B$11</f>
        <v>23.1</v>
      </c>
      <c r="E41" s="109" t="s">
        <v>30</v>
      </c>
      <c r="F41" s="110">
        <f>2*((($B$6*($B$7)^3)/12)+($B$6*$B$7)*($B$11+2*$B$7-0.5*$B$7-D41)^2)+($B$8*($B$11)^3)/12</f>
        <v>9069.1586666666681</v>
      </c>
      <c r="G41" s="109" t="s">
        <v>120</v>
      </c>
      <c r="H41" s="150">
        <f>4*$B$14*F41/F21</f>
        <v>253936442.66666672</v>
      </c>
      <c r="I41" s="109" t="s">
        <v>121</v>
      </c>
      <c r="J41" s="111">
        <f>6*$B$14*F41/(F21^2)</f>
        <v>1269682.2133333336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173"/>
    </row>
    <row r="42" spans="1:56" x14ac:dyDescent="0.25">
      <c r="A42" s="178" t="s">
        <v>122</v>
      </c>
      <c r="B42" s="112">
        <f>(E21-C21)/F21</f>
        <v>-1</v>
      </c>
      <c r="C42" s="113" t="s">
        <v>13</v>
      </c>
      <c r="D42" s="114">
        <f>(2*$B$6*$B$7)+($B$11*$B$8)</f>
        <v>32.6</v>
      </c>
      <c r="E42" s="113" t="s">
        <v>123</v>
      </c>
      <c r="F42" s="151">
        <f>$B$14*D42/F21</f>
        <v>228200</v>
      </c>
      <c r="G42" s="113" t="s">
        <v>124</v>
      </c>
      <c r="H42" s="151">
        <f>2*$B$14*F41/F21</f>
        <v>126968221.33333336</v>
      </c>
      <c r="I42" s="113" t="s">
        <v>125</v>
      </c>
      <c r="J42" s="115">
        <f>12*$B$14*F41/(F21^3)</f>
        <v>8464.5480888888906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173"/>
    </row>
    <row r="43" spans="1:56" x14ac:dyDescent="0.25">
      <c r="A43" s="179">
        <f>G44</f>
        <v>10</v>
      </c>
      <c r="B43" s="112">
        <f>G45</f>
        <v>11</v>
      </c>
      <c r="C43" s="112">
        <f>G46</f>
        <v>12</v>
      </c>
      <c r="D43" s="112">
        <f>G47</f>
        <v>4</v>
      </c>
      <c r="E43" s="112">
        <f>G48</f>
        <v>5</v>
      </c>
      <c r="F43" s="112">
        <f>G49</f>
        <v>6</v>
      </c>
      <c r="G43" s="113"/>
      <c r="H43" s="113"/>
      <c r="I43" s="113"/>
      <c r="J43" s="116">
        <v>3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173"/>
      <c r="AY43">
        <f>AX44</f>
        <v>10</v>
      </c>
      <c r="AZ43">
        <f>AX45</f>
        <v>11</v>
      </c>
      <c r="BA43">
        <f>AX46</f>
        <v>12</v>
      </c>
      <c r="BB43">
        <f>AX47</f>
        <v>4</v>
      </c>
      <c r="BC43">
        <f>AX48</f>
        <v>5</v>
      </c>
      <c r="BD43">
        <f>AX49</f>
        <v>6</v>
      </c>
    </row>
    <row r="44" spans="1:56" x14ac:dyDescent="0.25">
      <c r="A44" s="180">
        <f>(F42*B41^2+J42*B42^2)</f>
        <v>8464.5480888888906</v>
      </c>
      <c r="B44" s="112">
        <f>(F42-J42)*B41*B42</f>
        <v>0</v>
      </c>
      <c r="C44" s="112">
        <f>-J41*B42</f>
        <v>1269682.2133333336</v>
      </c>
      <c r="D44" s="112">
        <f>-(F42*B41^2+J42*B42^2)</f>
        <v>-8464.5480888888906</v>
      </c>
      <c r="E44" s="112">
        <f>-(F42-J42)*B41*B42</f>
        <v>0</v>
      </c>
      <c r="F44" s="112">
        <f>-J41*B42</f>
        <v>1269682.2133333336</v>
      </c>
      <c r="G44" s="112">
        <v>10</v>
      </c>
      <c r="H44" s="113"/>
      <c r="I44" s="113"/>
      <c r="J44" s="117"/>
      <c r="K44" s="99"/>
      <c r="L44" s="120">
        <f>F42</f>
        <v>228200</v>
      </c>
      <c r="M44" s="120">
        <v>0</v>
      </c>
      <c r="N44" s="120">
        <v>0</v>
      </c>
      <c r="O44" s="120">
        <f>-F42</f>
        <v>-228200</v>
      </c>
      <c r="P44" s="120">
        <v>0</v>
      </c>
      <c r="Q44" s="119">
        <v>0</v>
      </c>
      <c r="R44" s="99"/>
      <c r="S44" s="120">
        <f>B41</f>
        <v>0</v>
      </c>
      <c r="T44" s="120">
        <f>B42</f>
        <v>-1</v>
      </c>
      <c r="U44" s="120">
        <v>0</v>
      </c>
      <c r="V44" s="120">
        <v>0</v>
      </c>
      <c r="W44" s="120">
        <v>0</v>
      </c>
      <c r="X44" s="119">
        <v>0</v>
      </c>
      <c r="Y44" s="99"/>
      <c r="Z44" s="120">
        <f>L44*S44+M44*S45+N44*S46+O44*S47+P44*S48+Q44*S49</f>
        <v>0</v>
      </c>
      <c r="AA44" s="120">
        <f>L44*T44+M44*T45+N44*T46+O44*T47+P44*T48+Q44*T49</f>
        <v>-228200</v>
      </c>
      <c r="AB44" s="120">
        <f>L44*U44+M44*U45+N44*U46+O44*U47+P44*U48+Q44*U49</f>
        <v>0</v>
      </c>
      <c r="AC44" s="120">
        <f>L44*V44+M44*V45+N44*V46+O44*V47+P44*V48+Q44*V49</f>
        <v>0</v>
      </c>
      <c r="AD44" s="120">
        <f>L44*W44+M44*W45+N44*W46+O44*W47+P44*W48+Q44*W49</f>
        <v>228200</v>
      </c>
      <c r="AE44" s="119">
        <f>L44*X44+M44*X45+N44*X46+O44*X47+P44*X48+Q44*X49</f>
        <v>0</v>
      </c>
      <c r="AF44" s="99"/>
      <c r="AG44" s="121">
        <f>G9</f>
        <v>7.1203412402103368</v>
      </c>
      <c r="AH44" s="121"/>
      <c r="AI44" s="121">
        <f>Z44*AG44+AA44*AG45+AB44*AG46+AC44*AG47+AD44*AG48+AE44*AG49</f>
        <v>15309.79031369821</v>
      </c>
      <c r="AJ44" s="173"/>
      <c r="AX44">
        <f t="shared" ref="AX44:AX49" si="7">G44</f>
        <v>10</v>
      </c>
      <c r="AY44">
        <f>AX44*1000+AY43</f>
        <v>10010</v>
      </c>
      <c r="AZ44">
        <f>AX44*1000+AZ43</f>
        <v>10011</v>
      </c>
      <c r="BA44">
        <f>AX44*1000+BA43</f>
        <v>10012</v>
      </c>
      <c r="BB44">
        <f>AX44*1000+BB43</f>
        <v>10004</v>
      </c>
      <c r="BC44">
        <f>AX44*1000+BC43</f>
        <v>10005</v>
      </c>
      <c r="BD44">
        <f>AX44*1000+BD43</f>
        <v>10006</v>
      </c>
    </row>
    <row r="45" spans="1:56" x14ac:dyDescent="0.25">
      <c r="A45" s="179">
        <f>(F42-J42)*B41*B42</f>
        <v>0</v>
      </c>
      <c r="B45" s="122">
        <f>(F42*B42^2+J42*B41^2)</f>
        <v>228200</v>
      </c>
      <c r="C45" s="112">
        <f>J41*B41</f>
        <v>0</v>
      </c>
      <c r="D45" s="112">
        <f>-(F42-J42)*B41*B42</f>
        <v>0</v>
      </c>
      <c r="E45" s="112">
        <f>-(F42*B42^2+J42*B41^2)</f>
        <v>-228200</v>
      </c>
      <c r="F45" s="112">
        <f>J41*B41</f>
        <v>0</v>
      </c>
      <c r="G45" s="112">
        <v>11</v>
      </c>
      <c r="H45" s="113"/>
      <c r="I45" s="113"/>
      <c r="J45" s="117"/>
      <c r="K45" s="99"/>
      <c r="L45" s="120">
        <v>0</v>
      </c>
      <c r="M45" s="120">
        <f>J42</f>
        <v>8464.5480888888906</v>
      </c>
      <c r="N45" s="120">
        <f>J41</f>
        <v>1269682.2133333336</v>
      </c>
      <c r="O45" s="120">
        <v>0</v>
      </c>
      <c r="P45" s="120">
        <f>-J42</f>
        <v>-8464.5480888888906</v>
      </c>
      <c r="Q45" s="119">
        <f>J41</f>
        <v>1269682.2133333336</v>
      </c>
      <c r="R45" s="99"/>
      <c r="S45" s="120">
        <f>-B42</f>
        <v>1</v>
      </c>
      <c r="T45" s="120">
        <f>B41</f>
        <v>0</v>
      </c>
      <c r="U45" s="120">
        <v>0</v>
      </c>
      <c r="V45" s="120">
        <v>0</v>
      </c>
      <c r="W45" s="120">
        <v>0</v>
      </c>
      <c r="X45" s="119">
        <v>0</v>
      </c>
      <c r="Y45" s="99"/>
      <c r="Z45" s="120">
        <f>L45*S44+M45*S45+N45*S46+O45*S47+P45*S48+Q45*S49</f>
        <v>8464.5480888888906</v>
      </c>
      <c r="AA45" s="120">
        <f>L45*T44+M45*T45+N45*T46+O45*T47+P45*T48+Q45*T49</f>
        <v>0</v>
      </c>
      <c r="AB45" s="120">
        <f>L45*U44+M45*U45+N45*U46+O45*U47+P45*U48+Q45*U49</f>
        <v>1269682.2133333336</v>
      </c>
      <c r="AC45" s="120">
        <f>L45*V44+M45*V45+N45*V46+O45*V47+P45*V48+Q45*V49</f>
        <v>-8464.5480888888906</v>
      </c>
      <c r="AD45" s="120">
        <f>L45*W44+M45*W45+N45*W46+O45*W47+P45*W48+Q45*W49</f>
        <v>0</v>
      </c>
      <c r="AE45" s="119">
        <f>L45*X44+M45*X45+N45*X46+O45*X47+P45*X48+Q45*X49</f>
        <v>1269682.2133333336</v>
      </c>
      <c r="AF45" s="99"/>
      <c r="AG45" s="121">
        <f>G10</f>
        <v>-6.7089352820763407E-2</v>
      </c>
      <c r="AH45" s="121"/>
      <c r="AI45" s="121">
        <f>Z45*AG44+AA45*AG45+AB45*AG46+AC45*AG47+AD45*AG48+AE45*AG49</f>
        <v>26256.600277662023</v>
      </c>
      <c r="AJ45" s="173"/>
      <c r="AX45">
        <f t="shared" si="7"/>
        <v>11</v>
      </c>
      <c r="AY45">
        <f>AX45*1000+AY43</f>
        <v>11010</v>
      </c>
      <c r="AZ45">
        <f>AX45*1000+AZ43</f>
        <v>11011</v>
      </c>
      <c r="BA45">
        <f>AX45*1000+BA43</f>
        <v>11012</v>
      </c>
      <c r="BB45">
        <f>AX45*1000+BB43</f>
        <v>11004</v>
      </c>
      <c r="BC45">
        <f>AX45*1000+BC43</f>
        <v>11005</v>
      </c>
      <c r="BD45">
        <f>AX45*1000+BD43</f>
        <v>11006</v>
      </c>
    </row>
    <row r="46" spans="1:56" x14ac:dyDescent="0.25">
      <c r="A46" s="179">
        <f>-J41*B42</f>
        <v>1269682.2133333336</v>
      </c>
      <c r="B46" s="112">
        <f>J41*B41</f>
        <v>0</v>
      </c>
      <c r="C46" s="122">
        <f>H41</f>
        <v>253936442.66666672</v>
      </c>
      <c r="D46" s="112">
        <f>J41*B42</f>
        <v>-1269682.2133333336</v>
      </c>
      <c r="E46" s="112">
        <f>-J41*B41</f>
        <v>0</v>
      </c>
      <c r="F46" s="112">
        <f>H42</f>
        <v>126968221.33333336</v>
      </c>
      <c r="G46" s="112">
        <v>12</v>
      </c>
      <c r="H46" s="113"/>
      <c r="I46" s="113"/>
      <c r="J46" s="117"/>
      <c r="K46" s="99"/>
      <c r="L46" s="120">
        <v>0</v>
      </c>
      <c r="M46" s="120">
        <f>J41</f>
        <v>1269682.2133333336</v>
      </c>
      <c r="N46" s="120">
        <f>H41</f>
        <v>253936442.66666672</v>
      </c>
      <c r="O46" s="120">
        <v>0</v>
      </c>
      <c r="P46" s="120">
        <f>-J41</f>
        <v>-1269682.2133333336</v>
      </c>
      <c r="Q46" s="119">
        <f>H42</f>
        <v>126968221.33333336</v>
      </c>
      <c r="R46" s="99"/>
      <c r="S46" s="120">
        <v>0</v>
      </c>
      <c r="T46" s="120">
        <v>0</v>
      </c>
      <c r="U46" s="120">
        <v>1</v>
      </c>
      <c r="V46" s="120">
        <v>0</v>
      </c>
      <c r="W46" s="120">
        <v>0</v>
      </c>
      <c r="X46" s="119">
        <v>0</v>
      </c>
      <c r="Y46" s="99"/>
      <c r="Z46" s="120">
        <f>L46*S44+M46*S45+N46*S46+O46*S47+P46*S48+Q46*S49</f>
        <v>1269682.2133333336</v>
      </c>
      <c r="AA46" s="120">
        <f>L46*T44+M46*T45+N46*T46+O46*T47+P46*T48+Q46*T49</f>
        <v>0</v>
      </c>
      <c r="AB46" s="120">
        <f>L46*U44+M46*U45+N46*U46+O46*U47+P46*U48+Q46*U49</f>
        <v>253936442.66666672</v>
      </c>
      <c r="AC46" s="120">
        <f>L46*V44+M46*V45+N46*V46+O46*V47+P46*V48+Q46*V49</f>
        <v>-1269682.2133333336</v>
      </c>
      <c r="AD46" s="120">
        <f>L46*W44+M46*W45+N46*W46+O46*W47+P46*W48+Q46*W49</f>
        <v>0</v>
      </c>
      <c r="AE46" s="119">
        <f>L46*X44+M46*X45+N46*X46+O46*X47+P46*X48+Q46*X49</f>
        <v>126968221.33333336</v>
      </c>
      <c r="AF46" s="99"/>
      <c r="AG46" s="121">
        <f>G11</f>
        <v>-2.6789278610196119E-2</v>
      </c>
      <c r="AH46" s="121"/>
      <c r="AI46" s="121">
        <f>Z46*AG44+AA46*AG45+AB46*AG46+AC46*AG47+AD46*AG48+AE46*AG49</f>
        <v>2237796.5136794457</v>
      </c>
      <c r="AJ46" s="173"/>
      <c r="AX46">
        <f t="shared" si="7"/>
        <v>12</v>
      </c>
      <c r="AY46">
        <f>AX46*1000+AY43</f>
        <v>12010</v>
      </c>
      <c r="AZ46">
        <f>AX46*1000+AZ43</f>
        <v>12011</v>
      </c>
      <c r="BA46">
        <f>AX46*1000+BA43</f>
        <v>12012</v>
      </c>
      <c r="BB46">
        <f>AX46*1000+BB43</f>
        <v>12004</v>
      </c>
      <c r="BC46">
        <f>AX46*1000+BC43</f>
        <v>12005</v>
      </c>
      <c r="BD46">
        <f>AX46*1000+BD43</f>
        <v>12006</v>
      </c>
    </row>
    <row r="47" spans="1:56" ht="15.75" x14ac:dyDescent="0.25">
      <c r="A47" s="179">
        <f>-(F42*B41^2+J42*B42^2)</f>
        <v>-8464.5480888888906</v>
      </c>
      <c r="B47" s="112">
        <f>-(F42-J42)*B41*B42</f>
        <v>0</v>
      </c>
      <c r="C47" s="112">
        <f>J41*B42</f>
        <v>-1269682.2133333336</v>
      </c>
      <c r="D47" s="122">
        <f>(F42*B41^2+J42*B42^2)</f>
        <v>8464.5480888888906</v>
      </c>
      <c r="E47" s="112">
        <f>(F42-J42)*B41*B42</f>
        <v>0</v>
      </c>
      <c r="F47" s="112">
        <f>J41*B42</f>
        <v>-1269682.2133333336</v>
      </c>
      <c r="G47" s="112">
        <v>4</v>
      </c>
      <c r="H47" s="113"/>
      <c r="I47" s="113"/>
      <c r="J47" s="117"/>
      <c r="K47" s="99"/>
      <c r="L47" s="120">
        <f>-F42</f>
        <v>-228200</v>
      </c>
      <c r="M47" s="120">
        <v>0</v>
      </c>
      <c r="N47" s="120">
        <v>0</v>
      </c>
      <c r="O47" s="120">
        <f>F42</f>
        <v>228200</v>
      </c>
      <c r="P47" s="120">
        <v>0</v>
      </c>
      <c r="Q47" s="119">
        <v>0</v>
      </c>
      <c r="R47" s="123" t="s">
        <v>126</v>
      </c>
      <c r="S47" s="120">
        <v>0</v>
      </c>
      <c r="T47" s="120">
        <v>0</v>
      </c>
      <c r="U47" s="120">
        <v>0</v>
      </c>
      <c r="V47" s="120">
        <f>B41</f>
        <v>0</v>
      </c>
      <c r="W47" s="120">
        <f>B42</f>
        <v>-1</v>
      </c>
      <c r="X47" s="119">
        <v>0</v>
      </c>
      <c r="Y47" s="124" t="s">
        <v>58</v>
      </c>
      <c r="Z47" s="120">
        <f>L47*S44+M47*S45+N47*S46+O47*S47+P47*S48+Q47*S49</f>
        <v>0</v>
      </c>
      <c r="AA47" s="120">
        <f>L47*T44+M47*T45+N47*T46+O47*T47+P47*T48+Q47*T49</f>
        <v>228200</v>
      </c>
      <c r="AB47" s="120">
        <f>L47*U44+M47*U45+N47*U46+O47*U47+P47*U48+Q47*U49</f>
        <v>0</v>
      </c>
      <c r="AC47" s="120">
        <f>L47*V44+M47*V45+N47*V46+O47*V47+P47*V48+Q47*V49</f>
        <v>0</v>
      </c>
      <c r="AD47" s="120">
        <f>L47*W44+M47*W45+N47*W46+O47*W47+P47*W48+Q47*W49</f>
        <v>-228200</v>
      </c>
      <c r="AE47" s="119">
        <f>L47*X44+M47*X45+N47*X46+O47*X47+P47*X48+Q47*X49</f>
        <v>0</v>
      </c>
      <c r="AF47" s="123" t="s">
        <v>126</v>
      </c>
      <c r="AG47" s="121">
        <v>0</v>
      </c>
      <c r="AH47" s="123" t="s">
        <v>58</v>
      </c>
      <c r="AI47" s="121">
        <f>Z47*AG44+AA47*AG45+AB47*AG46+AC47*AG47+AD47*AG48+AE47*AG49</f>
        <v>-15309.79031369821</v>
      </c>
      <c r="AJ47" s="173"/>
      <c r="AX47">
        <f t="shared" si="7"/>
        <v>4</v>
      </c>
      <c r="AY47">
        <f>AX47*1000+AY43</f>
        <v>4010</v>
      </c>
      <c r="AZ47">
        <f>AX47*1000+AZ43</f>
        <v>4011</v>
      </c>
      <c r="BA47">
        <f>AX47*1000+BA43</f>
        <v>4012</v>
      </c>
      <c r="BB47">
        <f>AX47*1000+BB43</f>
        <v>4004</v>
      </c>
      <c r="BC47">
        <f>AX47*1000+BC43</f>
        <v>4005</v>
      </c>
      <c r="BD47">
        <f>AX47*1000+BD43</f>
        <v>4006</v>
      </c>
    </row>
    <row r="48" spans="1:56" x14ac:dyDescent="0.25">
      <c r="A48" s="179">
        <f>-(F42-J42)*B41*B42</f>
        <v>0</v>
      </c>
      <c r="B48" s="112">
        <f>-(F42*B42^2+J42*B41^2)</f>
        <v>-228200</v>
      </c>
      <c r="C48" s="112">
        <f>-J41*B41</f>
        <v>0</v>
      </c>
      <c r="D48" s="112">
        <f>(F42-J42)*B41*B42</f>
        <v>0</v>
      </c>
      <c r="E48" s="122">
        <f>(F42*B42^2+J42*B41^2)</f>
        <v>228200</v>
      </c>
      <c r="F48" s="112">
        <f>-J41*B41</f>
        <v>0</v>
      </c>
      <c r="G48" s="112">
        <v>5</v>
      </c>
      <c r="H48" s="113"/>
      <c r="I48" s="113"/>
      <c r="J48" s="117"/>
      <c r="K48" s="99"/>
      <c r="L48" s="120">
        <v>0</v>
      </c>
      <c r="M48" s="120">
        <f>-J42</f>
        <v>-8464.5480888888906</v>
      </c>
      <c r="N48" s="120">
        <f>-J41</f>
        <v>-1269682.2133333336</v>
      </c>
      <c r="O48" s="120">
        <v>0</v>
      </c>
      <c r="P48" s="120">
        <f>J42</f>
        <v>8464.5480888888906</v>
      </c>
      <c r="Q48" s="119">
        <f>-J41</f>
        <v>-1269682.2133333336</v>
      </c>
      <c r="R48" s="99"/>
      <c r="S48" s="120">
        <v>0</v>
      </c>
      <c r="T48" s="120">
        <v>0</v>
      </c>
      <c r="U48" s="120">
        <v>0</v>
      </c>
      <c r="V48" s="120">
        <f>-B42</f>
        <v>1</v>
      </c>
      <c r="W48" s="120">
        <f>B41</f>
        <v>0</v>
      </c>
      <c r="X48" s="119">
        <v>0</v>
      </c>
      <c r="Y48" s="99"/>
      <c r="Z48" s="120">
        <f>L48*S44+M48*S45+N48*S46+O48*S47+P48*S48+Q48*S49</f>
        <v>-8464.5480888888906</v>
      </c>
      <c r="AA48" s="120">
        <f>L48*T44+M48*T45+N48*T46+O48*T47+P48*T48+Q48*T49</f>
        <v>0</v>
      </c>
      <c r="AB48" s="120">
        <f>L48*U44+M48*U45+N48*U46+O48*U47+P48*U48+Q48*U49</f>
        <v>-1269682.2133333336</v>
      </c>
      <c r="AC48" s="120">
        <f>L48*V44+M48*V45+N48*V46+O48*V47+P48*V48+Q48*V49</f>
        <v>8464.5480888888906</v>
      </c>
      <c r="AD48" s="120">
        <f>L48*W44+M48*W45+N48*W46+O48*W47+P48*W48+Q48*W49</f>
        <v>0</v>
      </c>
      <c r="AE48" s="119">
        <f>L48*X44+M48*X45+N48*X46+O48*X47+P48*X48+Q48*X49</f>
        <v>-1269682.2133333336</v>
      </c>
      <c r="AF48" s="99"/>
      <c r="AG48" s="121">
        <v>0</v>
      </c>
      <c r="AH48" s="121"/>
      <c r="AI48" s="121">
        <f>Z48*AG44+AA48*AG45+AB48*AG46+AC48*AG47+AD48*AG48+AE48*AG49</f>
        <v>-26256.600277662023</v>
      </c>
      <c r="AJ48" s="173"/>
      <c r="AX48">
        <f t="shared" si="7"/>
        <v>5</v>
      </c>
      <c r="AY48">
        <f>AX48*1000+AY43</f>
        <v>5010</v>
      </c>
      <c r="AZ48">
        <f>AX48*1000+AZ43</f>
        <v>5011</v>
      </c>
      <c r="BA48">
        <f>AX48*1000+BA43</f>
        <v>5012</v>
      </c>
      <c r="BB48">
        <f>AX48*1000+BB43</f>
        <v>5004</v>
      </c>
      <c r="BC48">
        <f>AX48*1000+BC43</f>
        <v>5005</v>
      </c>
      <c r="BD48">
        <f>AX48*1000+BD43</f>
        <v>5006</v>
      </c>
    </row>
    <row r="49" spans="1:56" ht="15.75" thickBot="1" x14ac:dyDescent="0.3">
      <c r="A49" s="181">
        <f>-J41*B42</f>
        <v>1269682.2133333336</v>
      </c>
      <c r="B49" s="125">
        <f>J41*B41</f>
        <v>0</v>
      </c>
      <c r="C49" s="125">
        <f>H42</f>
        <v>126968221.33333336</v>
      </c>
      <c r="D49" s="125">
        <f>J41*B42</f>
        <v>-1269682.2133333336</v>
      </c>
      <c r="E49" s="125">
        <f>-J41*B41</f>
        <v>0</v>
      </c>
      <c r="F49" s="126">
        <f>H41</f>
        <v>253936442.66666672</v>
      </c>
      <c r="G49" s="125">
        <v>6</v>
      </c>
      <c r="H49" s="127"/>
      <c r="I49" s="127"/>
      <c r="J49" s="128"/>
      <c r="K49" s="99"/>
      <c r="L49" s="120">
        <v>0</v>
      </c>
      <c r="M49" s="120">
        <f>J41</f>
        <v>1269682.2133333336</v>
      </c>
      <c r="N49" s="120">
        <f>H42</f>
        <v>126968221.33333336</v>
      </c>
      <c r="O49" s="120">
        <v>0</v>
      </c>
      <c r="P49" s="120">
        <f>-J41</f>
        <v>-1269682.2133333336</v>
      </c>
      <c r="Q49" s="119">
        <f>H41</f>
        <v>253936442.66666672</v>
      </c>
      <c r="R49" s="99"/>
      <c r="S49" s="120">
        <v>0</v>
      </c>
      <c r="T49" s="120">
        <v>0</v>
      </c>
      <c r="U49" s="120">
        <v>0</v>
      </c>
      <c r="V49" s="120">
        <v>0</v>
      </c>
      <c r="W49" s="120">
        <v>0</v>
      </c>
      <c r="X49" s="119">
        <v>1</v>
      </c>
      <c r="Y49" s="99"/>
      <c r="Z49" s="120">
        <f>L49*S44+M49*S45+N49*S46+O49*S47+P49*S48+Q49*S49</f>
        <v>1269682.2133333336</v>
      </c>
      <c r="AA49" s="120">
        <f>L49*T44+M49*T45+N49*T46+O49*T47+P49*T48+Q49*T49</f>
        <v>0</v>
      </c>
      <c r="AB49" s="120">
        <f>L49*U44+M49*U45+N49*U46+O49*U47+P49*U48+Q49*U49</f>
        <v>126968221.33333336</v>
      </c>
      <c r="AC49" s="120">
        <f>L49*V44+M49*V45+N49*V46+O49*V47+P49*V48+Q49*V49</f>
        <v>-1269682.2133333336</v>
      </c>
      <c r="AD49" s="120">
        <f>L49*W44+M49*W45+N49*W46+O49*W47+P49*W48+Q49*W49</f>
        <v>0</v>
      </c>
      <c r="AE49" s="119">
        <f>L49*X44+M49*X45+N49*X46+O49*X47+P49*X48+Q49*X49</f>
        <v>253936442.66666672</v>
      </c>
      <c r="AF49" s="99"/>
      <c r="AG49" s="121">
        <v>0</v>
      </c>
      <c r="AH49" s="121"/>
      <c r="AI49" s="121">
        <f>Z49*AG44+AA49*AG45+AB49*AG46+AC49*AG47+AD49*AG48+AE49*AG49</f>
        <v>5639183.5696191601</v>
      </c>
      <c r="AJ49" s="173"/>
      <c r="AX49">
        <f t="shared" si="7"/>
        <v>6</v>
      </c>
      <c r="AY49">
        <f>AX49*1000+AY43</f>
        <v>6010</v>
      </c>
      <c r="AZ49">
        <f>AX49*1000+AZ43</f>
        <v>6011</v>
      </c>
      <c r="BA49">
        <f>AX49*1000+BA43</f>
        <v>6012</v>
      </c>
      <c r="BB49">
        <f>AX49*1000+BB43</f>
        <v>6004</v>
      </c>
      <c r="BC49">
        <f>AX49*1000+BC43</f>
        <v>6005</v>
      </c>
      <c r="BD49">
        <f>AX49*1000+BD43</f>
        <v>6006</v>
      </c>
    </row>
    <row r="50" spans="1:56" x14ac:dyDescent="0.25">
      <c r="A50" s="176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173"/>
    </row>
    <row r="51" spans="1:56" x14ac:dyDescent="0.25">
      <c r="A51" s="176"/>
      <c r="B51" s="120">
        <f>A52</f>
        <v>1</v>
      </c>
      <c r="C51" s="120">
        <f>A53</f>
        <v>2</v>
      </c>
      <c r="D51" s="120">
        <f>A54</f>
        <v>3</v>
      </c>
      <c r="E51" s="120">
        <f>A55</f>
        <v>4</v>
      </c>
      <c r="F51" s="120">
        <f>A56</f>
        <v>5</v>
      </c>
      <c r="G51" s="120">
        <f>A57</f>
        <v>6</v>
      </c>
      <c r="H51" s="120">
        <f>A58</f>
        <v>7</v>
      </c>
      <c r="I51" s="120">
        <f>A59</f>
        <v>8</v>
      </c>
      <c r="J51" s="120">
        <f>A60</f>
        <v>9</v>
      </c>
      <c r="K51" s="120">
        <f>A61</f>
        <v>10</v>
      </c>
      <c r="L51" s="120">
        <f>A62</f>
        <v>11</v>
      </c>
      <c r="M51" s="120">
        <f>A63</f>
        <v>12</v>
      </c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173"/>
    </row>
    <row r="52" spans="1:56" x14ac:dyDescent="0.25">
      <c r="A52" s="182">
        <v>1</v>
      </c>
      <c r="B52" s="120">
        <f>SUMIF($AY$26:$BD$49,$A$52*1000+B51,$A$26:$F$49)</f>
        <v>1828.3423872000003</v>
      </c>
      <c r="C52" s="120">
        <f t="shared" ref="C52:M52" si="8">SUMIF($AY$26:$BD$49,$A$52*1000+C51,$A$26:$F$49)</f>
        <v>0</v>
      </c>
      <c r="D52" s="120">
        <f t="shared" si="8"/>
        <v>-457085.59680000006</v>
      </c>
      <c r="E52" s="120">
        <f t="shared" si="8"/>
        <v>0</v>
      </c>
      <c r="F52" s="120">
        <f t="shared" si="8"/>
        <v>0</v>
      </c>
      <c r="G52" s="155">
        <f t="shared" si="8"/>
        <v>0</v>
      </c>
      <c r="H52" s="120">
        <f t="shared" si="8"/>
        <v>-1828.3423872000003</v>
      </c>
      <c r="I52" s="120">
        <f t="shared" si="8"/>
        <v>0</v>
      </c>
      <c r="J52" s="120">
        <f t="shared" si="8"/>
        <v>-457085.59680000006</v>
      </c>
      <c r="K52" s="120">
        <f t="shared" si="8"/>
        <v>0</v>
      </c>
      <c r="L52" s="120">
        <f t="shared" si="8"/>
        <v>0</v>
      </c>
      <c r="M52" s="119">
        <f t="shared" si="8"/>
        <v>0</v>
      </c>
      <c r="N52" s="20"/>
      <c r="O52" s="130" t="s">
        <v>59</v>
      </c>
      <c r="P52" s="183"/>
      <c r="Q52" s="130">
        <v>0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173"/>
    </row>
    <row r="53" spans="1:56" x14ac:dyDescent="0.25">
      <c r="A53" s="182">
        <v>2</v>
      </c>
      <c r="B53" s="120">
        <f>SUMIF($AY$26:$BD$49,$A$53*1000+B51,$A$26:$F$49)</f>
        <v>0</v>
      </c>
      <c r="C53" s="120">
        <f t="shared" ref="C53:M53" si="9">SUMIF($AY$26:$BD$49,$A$53*1000+C51,$A$26:$F$49)</f>
        <v>136920</v>
      </c>
      <c r="D53" s="120">
        <f t="shared" si="9"/>
        <v>0</v>
      </c>
      <c r="E53" s="120">
        <f t="shared" si="9"/>
        <v>0</v>
      </c>
      <c r="F53" s="120">
        <f t="shared" si="9"/>
        <v>0</v>
      </c>
      <c r="G53" s="155">
        <f t="shared" si="9"/>
        <v>0</v>
      </c>
      <c r="H53" s="120">
        <f t="shared" si="9"/>
        <v>0</v>
      </c>
      <c r="I53" s="120">
        <f t="shared" si="9"/>
        <v>-136920</v>
      </c>
      <c r="J53" s="120">
        <f t="shared" si="9"/>
        <v>0</v>
      </c>
      <c r="K53" s="120">
        <f t="shared" si="9"/>
        <v>0</v>
      </c>
      <c r="L53" s="120">
        <f t="shared" si="9"/>
        <v>0</v>
      </c>
      <c r="M53" s="119">
        <f t="shared" si="9"/>
        <v>0</v>
      </c>
      <c r="N53" s="20"/>
      <c r="O53" s="130" t="s">
        <v>60</v>
      </c>
      <c r="P53" s="183"/>
      <c r="Q53" s="130">
        <v>0</v>
      </c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>
        <f>B19</f>
        <v>0</v>
      </c>
      <c r="AH53" s="20">
        <f>C19</f>
        <v>0</v>
      </c>
      <c r="AI53" s="20"/>
      <c r="AJ53" s="173"/>
    </row>
    <row r="54" spans="1:56" x14ac:dyDescent="0.25">
      <c r="A54" s="182">
        <v>3</v>
      </c>
      <c r="B54" s="120">
        <f>SUMIF($AY$26:$BD$49,$A$54*1000+B51,$A$26:$F$49)</f>
        <v>-457085.59680000006</v>
      </c>
      <c r="C54" s="120">
        <f t="shared" ref="C54:M54" si="10">SUMIF($AY$26:$BD$49,$A$54*1000+C51,$A$26:$F$49)</f>
        <v>0</v>
      </c>
      <c r="D54" s="120">
        <f t="shared" si="10"/>
        <v>152361865.60000002</v>
      </c>
      <c r="E54" s="120">
        <f t="shared" si="10"/>
        <v>0</v>
      </c>
      <c r="F54" s="120">
        <f t="shared" si="10"/>
        <v>0</v>
      </c>
      <c r="G54" s="155">
        <f t="shared" si="10"/>
        <v>0</v>
      </c>
      <c r="H54" s="120">
        <f t="shared" si="10"/>
        <v>457085.59680000006</v>
      </c>
      <c r="I54" s="120">
        <f t="shared" si="10"/>
        <v>0</v>
      </c>
      <c r="J54" s="120">
        <f t="shared" si="10"/>
        <v>76180932.800000012</v>
      </c>
      <c r="K54" s="120">
        <f t="shared" si="10"/>
        <v>0</v>
      </c>
      <c r="L54" s="120">
        <f t="shared" si="10"/>
        <v>0</v>
      </c>
      <c r="M54" s="119">
        <f t="shared" si="10"/>
        <v>0</v>
      </c>
      <c r="N54" s="20"/>
      <c r="O54" s="130" t="s">
        <v>84</v>
      </c>
      <c r="P54" s="183"/>
      <c r="Q54" s="130">
        <v>0</v>
      </c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151">
        <f>B20+AG29</f>
        <v>7.5168632628953329</v>
      </c>
      <c r="AH54" s="20">
        <f>C20+AG30</f>
        <v>500.11181558803463</v>
      </c>
      <c r="AI54" s="20"/>
      <c r="AJ54" s="173"/>
    </row>
    <row r="55" spans="1:56" x14ac:dyDescent="0.25">
      <c r="A55" s="182">
        <v>4</v>
      </c>
      <c r="B55" s="120">
        <f>SUMIF($AY$26:$BD$49,$A$55*1000+B51,$A$26:$F$49)</f>
        <v>0</v>
      </c>
      <c r="C55" s="120">
        <f t="shared" ref="C55:M55" si="11">SUMIF($AY$26:$BD$49,$A$55*1000+C51,$A$26:$F$49)</f>
        <v>0</v>
      </c>
      <c r="D55" s="120">
        <f t="shared" si="11"/>
        <v>0</v>
      </c>
      <c r="E55" s="120">
        <f t="shared" si="11"/>
        <v>8464.5480888888906</v>
      </c>
      <c r="F55" s="120">
        <f t="shared" si="11"/>
        <v>0</v>
      </c>
      <c r="G55" s="155">
        <f t="shared" si="11"/>
        <v>-1269682.2133333336</v>
      </c>
      <c r="H55" s="120">
        <f t="shared" si="11"/>
        <v>0</v>
      </c>
      <c r="I55" s="120">
        <f t="shared" si="11"/>
        <v>0</v>
      </c>
      <c r="J55" s="120">
        <f t="shared" si="11"/>
        <v>0</v>
      </c>
      <c r="K55" s="120">
        <f t="shared" si="11"/>
        <v>-8464.5480888888906</v>
      </c>
      <c r="L55" s="120">
        <f t="shared" si="11"/>
        <v>0</v>
      </c>
      <c r="M55" s="119">
        <f t="shared" si="11"/>
        <v>-1269682.2133333336</v>
      </c>
      <c r="N55" s="20"/>
      <c r="O55" s="130" t="s">
        <v>85</v>
      </c>
      <c r="P55" s="183"/>
      <c r="Q55" s="131">
        <v>0</v>
      </c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>
        <f>B21+AG38</f>
        <v>607.12034124021034</v>
      </c>
      <c r="AH55" s="20">
        <f>C21+AG39</f>
        <v>299.93291064717926</v>
      </c>
      <c r="AI55" s="20"/>
      <c r="AJ55" s="173"/>
    </row>
    <row r="56" spans="1:56" x14ac:dyDescent="0.25">
      <c r="A56" s="182">
        <v>5</v>
      </c>
      <c r="B56" s="120">
        <f>SUMIF($AY$26:$BD$49,$A$56*1000+B51,$A$26:$F$49)</f>
        <v>0</v>
      </c>
      <c r="C56" s="120">
        <f t="shared" ref="C56:M56" si="12">SUMIF($AY$26:$BD$49,$A$56*1000+C51,$A$26:$F$49)</f>
        <v>0</v>
      </c>
      <c r="D56" s="120">
        <f t="shared" si="12"/>
        <v>0</v>
      </c>
      <c r="E56" s="120">
        <f t="shared" si="12"/>
        <v>0</v>
      </c>
      <c r="F56" s="120">
        <f t="shared" si="12"/>
        <v>228200</v>
      </c>
      <c r="G56" s="155">
        <f t="shared" si="12"/>
        <v>0</v>
      </c>
      <c r="H56" s="120">
        <f t="shared" si="12"/>
        <v>0</v>
      </c>
      <c r="I56" s="120">
        <f t="shared" si="12"/>
        <v>0</v>
      </c>
      <c r="J56" s="120">
        <f t="shared" si="12"/>
        <v>0</v>
      </c>
      <c r="K56" s="120">
        <f t="shared" si="12"/>
        <v>0</v>
      </c>
      <c r="L56" s="120">
        <f t="shared" si="12"/>
        <v>-228200</v>
      </c>
      <c r="M56" s="119">
        <f t="shared" si="12"/>
        <v>0</v>
      </c>
      <c r="N56" s="20"/>
      <c r="O56" s="130" t="s">
        <v>135</v>
      </c>
      <c r="P56" s="20"/>
      <c r="Q56" s="130">
        <v>0</v>
      </c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>
        <f>D21</f>
        <v>600</v>
      </c>
      <c r="AH56" s="20">
        <f>E21</f>
        <v>0</v>
      </c>
      <c r="AI56" s="20"/>
      <c r="AJ56" s="173"/>
    </row>
    <row r="57" spans="1:56" ht="15.75" thickBot="1" x14ac:dyDescent="0.3">
      <c r="A57" s="182">
        <v>6</v>
      </c>
      <c r="B57" s="152">
        <f>SUMIF($AY$26:$BD$49,$A$57*1000+B51,$A$26:$F$49)</f>
        <v>0</v>
      </c>
      <c r="C57" s="153">
        <f t="shared" ref="C57:M57" si="13">SUMIF($AY$26:$BD$49,$A$57*1000+C51,$A$26:$F$49)</f>
        <v>0</v>
      </c>
      <c r="D57" s="153">
        <f t="shared" si="13"/>
        <v>0</v>
      </c>
      <c r="E57" s="153">
        <f t="shared" si="13"/>
        <v>-1269682.2133333336</v>
      </c>
      <c r="F57" s="153">
        <f t="shared" si="13"/>
        <v>0</v>
      </c>
      <c r="G57" s="156">
        <f t="shared" si="13"/>
        <v>253936442.66666672</v>
      </c>
      <c r="H57" s="153">
        <f t="shared" si="13"/>
        <v>0</v>
      </c>
      <c r="I57" s="153">
        <f t="shared" si="13"/>
        <v>0</v>
      </c>
      <c r="J57" s="153">
        <f t="shared" si="13"/>
        <v>0</v>
      </c>
      <c r="K57" s="153">
        <f t="shared" si="13"/>
        <v>1269682.2133333336</v>
      </c>
      <c r="L57" s="153">
        <f t="shared" si="13"/>
        <v>0</v>
      </c>
      <c r="M57" s="154">
        <f t="shared" si="13"/>
        <v>126968221.33333336</v>
      </c>
      <c r="N57" s="20"/>
      <c r="O57" s="130" t="s">
        <v>136</v>
      </c>
      <c r="P57" s="20"/>
      <c r="Q57" s="130">
        <v>0</v>
      </c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173"/>
    </row>
    <row r="58" spans="1:56" x14ac:dyDescent="0.25">
      <c r="A58" s="182">
        <v>7</v>
      </c>
      <c r="B58" s="120">
        <f>SUMIF($AY$26:$BD$49,$A$58*1000+B51,$A$26:$F$49)</f>
        <v>-1828.3423872000003</v>
      </c>
      <c r="C58" s="120">
        <f t="shared" ref="C58:G58" si="14">SUMIF($AY$26:$BD$49,$A$58*1000+C51,$A$26:$F$49)</f>
        <v>0</v>
      </c>
      <c r="D58" s="120">
        <f t="shared" si="14"/>
        <v>457085.59680000006</v>
      </c>
      <c r="E58" s="120">
        <f t="shared" si="14"/>
        <v>0</v>
      </c>
      <c r="F58" s="120">
        <f t="shared" si="14"/>
        <v>0</v>
      </c>
      <c r="G58" s="155">
        <f t="shared" si="14"/>
        <v>0</v>
      </c>
      <c r="H58" s="184">
        <f t="shared" ref="H58:I60" si="15">D29+A35</f>
        <v>85659.585700377225</v>
      </c>
      <c r="I58" s="129">
        <f t="shared" si="15"/>
        <v>-27767.800799352925</v>
      </c>
      <c r="J58" s="129">
        <f>C35</f>
        <v>52784.091511843944</v>
      </c>
      <c r="K58" s="129">
        <f>D35</f>
        <v>-83831.243313177227</v>
      </c>
      <c r="L58" s="129">
        <f>E35</f>
        <v>27767.800799352925</v>
      </c>
      <c r="M58" s="158">
        <f>F35</f>
        <v>52784.091511843944</v>
      </c>
      <c r="N58" s="145" t="s">
        <v>126</v>
      </c>
      <c r="O58" s="130" t="s">
        <v>78</v>
      </c>
      <c r="P58" s="123" t="s">
        <v>58</v>
      </c>
      <c r="Q58" s="121">
        <f>$Y$12</f>
        <v>40000</v>
      </c>
      <c r="R58" s="120"/>
      <c r="S58" s="166">
        <f>G6</f>
        <v>7.5168632628953329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173"/>
    </row>
    <row r="59" spans="1:56" x14ac:dyDescent="0.25">
      <c r="A59" s="182">
        <v>8</v>
      </c>
      <c r="B59" s="120">
        <f>SUMIF($AY$26:$BD$49,$A$59*1000+B51,$A$26:$F$49)</f>
        <v>0</v>
      </c>
      <c r="C59" s="120">
        <f t="shared" ref="C59:G59" si="16">SUMIF($AY$26:$BD$49,$A$59*1000+C51,$A$26:$F$49)</f>
        <v>-136920</v>
      </c>
      <c r="D59" s="120">
        <f t="shared" si="16"/>
        <v>0</v>
      </c>
      <c r="E59" s="120">
        <f t="shared" si="16"/>
        <v>0</v>
      </c>
      <c r="F59" s="120">
        <f t="shared" si="16"/>
        <v>0</v>
      </c>
      <c r="G59" s="155">
        <f t="shared" si="16"/>
        <v>0</v>
      </c>
      <c r="H59" s="129">
        <f t="shared" si="15"/>
        <v>-27767.800799352925</v>
      </c>
      <c r="I59" s="184">
        <f t="shared" si="15"/>
        <v>146703.77451490273</v>
      </c>
      <c r="J59" s="129">
        <f>F30+C36</f>
        <v>158352.27453553185</v>
      </c>
      <c r="K59" s="129">
        <f t="shared" ref="K59:M60" si="17">D36</f>
        <v>27767.800799352925</v>
      </c>
      <c r="L59" s="129">
        <f t="shared" si="17"/>
        <v>-9783.7745149027469</v>
      </c>
      <c r="M59" s="158">
        <f t="shared" si="17"/>
        <v>158352.27453553185</v>
      </c>
      <c r="N59" s="99"/>
      <c r="O59" s="130" t="s">
        <v>79</v>
      </c>
      <c r="P59" s="99"/>
      <c r="Q59" s="121">
        <v>0</v>
      </c>
      <c r="R59" s="120"/>
      <c r="S59" s="121">
        <f>G7</f>
        <v>0.11181558803460567</v>
      </c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173"/>
    </row>
    <row r="60" spans="1:56" x14ac:dyDescent="0.25">
      <c r="A60" s="182">
        <v>9</v>
      </c>
      <c r="B60" s="120">
        <f>SUMIF($AY$26:$BD$49,$A$60*1000+B51,$A$26:$F$49)</f>
        <v>-457085.59680000006</v>
      </c>
      <c r="C60" s="120">
        <f t="shared" ref="C60:G60" si="18">SUMIF($AY$26:$BD$49,$A$60*1000+C51,$A$26:$F$49)</f>
        <v>0</v>
      </c>
      <c r="D60" s="120">
        <f t="shared" si="18"/>
        <v>76180932.800000012</v>
      </c>
      <c r="E60" s="120">
        <f t="shared" si="18"/>
        <v>0</v>
      </c>
      <c r="F60" s="120">
        <f t="shared" si="18"/>
        <v>0</v>
      </c>
      <c r="G60" s="155">
        <f t="shared" si="18"/>
        <v>0</v>
      </c>
      <c r="H60" s="129">
        <f t="shared" si="15"/>
        <v>509869.68831184402</v>
      </c>
      <c r="I60" s="129">
        <f t="shared" si="15"/>
        <v>158352.27453553185</v>
      </c>
      <c r="J60" s="184">
        <f>F31+C37</f>
        <v>222740654.28245863</v>
      </c>
      <c r="K60" s="129">
        <f t="shared" si="17"/>
        <v>-52784.091511843944</v>
      </c>
      <c r="L60" s="129">
        <f t="shared" si="17"/>
        <v>-158352.27453553185</v>
      </c>
      <c r="M60" s="158">
        <f t="shared" si="17"/>
        <v>35189394.341229305</v>
      </c>
      <c r="N60" s="99"/>
      <c r="O60" s="130" t="s">
        <v>80</v>
      </c>
      <c r="P60" s="99"/>
      <c r="Q60" s="121">
        <v>0</v>
      </c>
      <c r="R60" s="120"/>
      <c r="S60" s="166">
        <f t="shared" ref="S60:S63" si="19">G8</f>
        <v>-1.1414223006057852E-2</v>
      </c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52"/>
      <c r="AI60" s="20"/>
      <c r="AJ60" s="173"/>
    </row>
    <row r="61" spans="1:56" x14ac:dyDescent="0.25">
      <c r="A61" s="182">
        <v>10</v>
      </c>
      <c r="B61" s="120">
        <f>SUMIF($AY$26:$BD$49,$A$61*1000+B51,$A$26:$F$49)</f>
        <v>0</v>
      </c>
      <c r="C61" s="120">
        <f t="shared" ref="C61:G61" si="20">SUMIF($AY$26:$BD$49,$A$61*1000+C51,$A$26:$F$49)</f>
        <v>0</v>
      </c>
      <c r="D61" s="120">
        <f t="shared" si="20"/>
        <v>0</v>
      </c>
      <c r="E61" s="120">
        <f t="shared" si="20"/>
        <v>-8464.5480888888906</v>
      </c>
      <c r="F61" s="120">
        <f t="shared" si="20"/>
        <v>0</v>
      </c>
      <c r="G61" s="155">
        <f t="shared" si="20"/>
        <v>1269682.2133333336</v>
      </c>
      <c r="H61" s="129">
        <f t="shared" ref="H61:J63" si="21">A38</f>
        <v>-83831.243313177227</v>
      </c>
      <c r="I61" s="129">
        <f t="shared" si="21"/>
        <v>27767.800799352925</v>
      </c>
      <c r="J61" s="129">
        <f t="shared" si="21"/>
        <v>-52784.091511843944</v>
      </c>
      <c r="K61" s="184">
        <f t="shared" ref="K61:M63" si="22">D38+A44</f>
        <v>92295.791402066112</v>
      </c>
      <c r="L61" s="129">
        <f t="shared" si="22"/>
        <v>-27767.800799352925</v>
      </c>
      <c r="M61" s="158">
        <f t="shared" si="22"/>
        <v>1216898.1218214897</v>
      </c>
      <c r="N61" s="99"/>
      <c r="O61" s="130" t="s">
        <v>81</v>
      </c>
      <c r="P61" s="99"/>
      <c r="Q61" s="121">
        <f>$Y$13</f>
        <v>0</v>
      </c>
      <c r="R61" s="185" t="str">
        <f>"D="</f>
        <v>D=</v>
      </c>
      <c r="S61" s="121">
        <f t="shared" si="19"/>
        <v>7.1203412402103368</v>
      </c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173"/>
    </row>
    <row r="62" spans="1:56" x14ac:dyDescent="0.25">
      <c r="A62" s="182">
        <v>11</v>
      </c>
      <c r="B62" s="120">
        <f>SUMIF($AY$26:$BD$49,$A$62*1000+B51,$A$26:$F$49)</f>
        <v>0</v>
      </c>
      <c r="C62" s="120">
        <f t="shared" ref="C62:G62" si="23">SUMIF($AY$26:$BD$49,$A$62*1000+C51,$A$26:$F$49)</f>
        <v>0</v>
      </c>
      <c r="D62" s="120">
        <f t="shared" si="23"/>
        <v>0</v>
      </c>
      <c r="E62" s="120">
        <f t="shared" si="23"/>
        <v>0</v>
      </c>
      <c r="F62" s="120">
        <f t="shared" si="23"/>
        <v>-228200</v>
      </c>
      <c r="G62" s="155">
        <f t="shared" si="23"/>
        <v>0</v>
      </c>
      <c r="H62" s="129">
        <f t="shared" si="21"/>
        <v>27767.800799352925</v>
      </c>
      <c r="I62" s="129">
        <f t="shared" si="21"/>
        <v>-9783.7745149027469</v>
      </c>
      <c r="J62" s="129">
        <f t="shared" si="21"/>
        <v>-158352.27453553185</v>
      </c>
      <c r="K62" s="129">
        <f t="shared" si="22"/>
        <v>-27767.800799352925</v>
      </c>
      <c r="L62" s="184">
        <f t="shared" si="22"/>
        <v>237983.77451490273</v>
      </c>
      <c r="M62" s="158">
        <f t="shared" si="22"/>
        <v>-158352.27453553185</v>
      </c>
      <c r="N62" s="99"/>
      <c r="O62" s="130" t="s">
        <v>82</v>
      </c>
      <c r="P62" s="99"/>
      <c r="Q62" s="121">
        <v>0</v>
      </c>
      <c r="R62" s="120"/>
      <c r="S62" s="166">
        <f t="shared" si="19"/>
        <v>-6.7089352820763407E-2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173"/>
    </row>
    <row r="63" spans="1:56" x14ac:dyDescent="0.25">
      <c r="A63" s="182">
        <v>12</v>
      </c>
      <c r="B63" s="120">
        <f>SUMIF($AY$26:$BD$49,$A$63*1000+B51,$A$26:$F$49)</f>
        <v>0</v>
      </c>
      <c r="C63" s="120">
        <f t="shared" ref="C63:G63" si="24">SUMIF($AY$26:$BD$49,$A$63*1000+C51,$A$26:$F$49)</f>
        <v>0</v>
      </c>
      <c r="D63" s="120">
        <f t="shared" si="24"/>
        <v>0</v>
      </c>
      <c r="E63" s="120">
        <f t="shared" si="24"/>
        <v>-1269682.2133333336</v>
      </c>
      <c r="F63" s="120">
        <f t="shared" si="24"/>
        <v>0</v>
      </c>
      <c r="G63" s="155">
        <f t="shared" si="24"/>
        <v>126968221.33333336</v>
      </c>
      <c r="H63" s="129">
        <f t="shared" si="21"/>
        <v>52784.091511843944</v>
      </c>
      <c r="I63" s="129">
        <f t="shared" si="21"/>
        <v>158352.27453553185</v>
      </c>
      <c r="J63" s="129">
        <f t="shared" si="21"/>
        <v>35189394.341229305</v>
      </c>
      <c r="K63" s="129">
        <f t="shared" si="22"/>
        <v>1216898.1218214897</v>
      </c>
      <c r="L63" s="129">
        <f t="shared" si="22"/>
        <v>-158352.27453553185</v>
      </c>
      <c r="M63" s="157">
        <f t="shared" si="22"/>
        <v>324315231.34912533</v>
      </c>
      <c r="N63" s="99"/>
      <c r="O63" s="130" t="s">
        <v>83</v>
      </c>
      <c r="P63" s="99"/>
      <c r="Q63" s="121">
        <v>0</v>
      </c>
      <c r="R63" s="120"/>
      <c r="S63" s="121">
        <f t="shared" si="19"/>
        <v>-2.6789278610196119E-2</v>
      </c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173"/>
    </row>
    <row r="64" spans="1:56" ht="15.75" thickBot="1" x14ac:dyDescent="0.3">
      <c r="A64" s="176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173"/>
    </row>
    <row r="65" spans="1:36" ht="16.5" thickBot="1" x14ac:dyDescent="0.3">
      <c r="A65" s="225" t="s">
        <v>72</v>
      </c>
      <c r="B65" s="226"/>
      <c r="C65" s="226"/>
      <c r="D65" s="227"/>
      <c r="E65" s="20"/>
      <c r="F65" s="168" t="s">
        <v>138</v>
      </c>
      <c r="G65" s="168" t="s">
        <v>139</v>
      </c>
      <c r="H65" s="169" t="s">
        <v>140</v>
      </c>
      <c r="I65" s="168" t="s">
        <v>141</v>
      </c>
      <c r="J65" s="170" t="s">
        <v>146</v>
      </c>
      <c r="K65" s="242" t="s">
        <v>147</v>
      </c>
      <c r="L65" s="243"/>
      <c r="M65" s="168" t="s">
        <v>142</v>
      </c>
      <c r="N65" s="168" t="s">
        <v>150</v>
      </c>
      <c r="O65" s="191">
        <f>MIN(J66:J71)</f>
        <v>0.53200041512438434</v>
      </c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173"/>
    </row>
    <row r="66" spans="1:36" ht="15.75" thickBot="1" x14ac:dyDescent="0.3">
      <c r="A66" s="231" t="s">
        <v>137</v>
      </c>
      <c r="B66" s="231"/>
      <c r="C66" s="231"/>
      <c r="D66" s="165">
        <f>H58*$G$6+I58*$G$7+J58*$G$8+K58*$G$9+L58*$G$10+M58*$G$11-Q58</f>
        <v>0</v>
      </c>
      <c r="E66" s="20"/>
      <c r="F66" s="237">
        <v>1</v>
      </c>
      <c r="G66" s="139">
        <v>1</v>
      </c>
      <c r="H66" s="139">
        <f>AI28</f>
        <v>2566303.7747958014</v>
      </c>
      <c r="I66" s="139">
        <f>J13</f>
        <v>3000048.0000000005</v>
      </c>
      <c r="J66" s="167">
        <f>I66/H66</f>
        <v>1.1690151530243966</v>
      </c>
      <c r="K66" s="239">
        <f>$J$71*H66</f>
        <v>1365274.673526641</v>
      </c>
      <c r="L66" s="240"/>
      <c r="M66" s="139">
        <f>J13</f>
        <v>3000048.0000000005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173"/>
    </row>
    <row r="67" spans="1:36" ht="15.75" thickBot="1" x14ac:dyDescent="0.3">
      <c r="A67" s="231" t="s">
        <v>89</v>
      </c>
      <c r="B67" s="231"/>
      <c r="C67" s="231"/>
      <c r="D67" s="165">
        <f t="shared" ref="D67:D71" si="25">H59*$G$6+I59*$G$7+J59*$G$8+K59*$G$9+L59*$G$10+M59*$G$11-Q59</f>
        <v>-1.6370904631912708E-11</v>
      </c>
      <c r="E67" s="20"/>
      <c r="F67" s="238"/>
      <c r="G67" s="139">
        <v>2</v>
      </c>
      <c r="H67" s="139">
        <f>-AI31</f>
        <v>-1696757.6190070943</v>
      </c>
      <c r="I67" s="139">
        <f>-J13</f>
        <v>-3000048.0000000005</v>
      </c>
      <c r="J67" s="167">
        <f t="shared" ref="J67:J71" si="26">I67/H67</f>
        <v>1.7681063968084985</v>
      </c>
      <c r="K67" s="239">
        <f t="shared" ref="K67:K71" si="27">$J$71*H67</f>
        <v>-902675.75767723611</v>
      </c>
      <c r="L67" s="240"/>
      <c r="M67" s="139">
        <f>-J13</f>
        <v>-3000048.0000000005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173"/>
    </row>
    <row r="68" spans="1:36" ht="15.75" thickBot="1" x14ac:dyDescent="0.3">
      <c r="A68" s="231" t="s">
        <v>90</v>
      </c>
      <c r="B68" s="231"/>
      <c r="C68" s="231"/>
      <c r="D68" s="165">
        <f t="shared" si="25"/>
        <v>-4.6566128730773926E-10</v>
      </c>
      <c r="E68" s="20"/>
      <c r="F68" s="237">
        <v>2</v>
      </c>
      <c r="G68" s="139">
        <v>2</v>
      </c>
      <c r="H68" s="139">
        <f>AI37</f>
        <v>-1696757.6190070948</v>
      </c>
      <c r="I68" s="139">
        <f>-H13</f>
        <v>-2000093.8800000001</v>
      </c>
      <c r="J68" s="167">
        <f t="shared" si="26"/>
        <v>1.1787740674300971</v>
      </c>
      <c r="K68" s="239">
        <f t="shared" si="27"/>
        <v>-902675.75767723634</v>
      </c>
      <c r="L68" s="240"/>
      <c r="M68" s="139">
        <f>-H13</f>
        <v>-2000093.8800000001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173"/>
    </row>
    <row r="69" spans="1:36" ht="15.75" thickBot="1" x14ac:dyDescent="0.3">
      <c r="A69" s="231" t="s">
        <v>91</v>
      </c>
      <c r="B69" s="231"/>
      <c r="C69" s="231"/>
      <c r="D69" s="165">
        <f t="shared" si="25"/>
        <v>8.7311491370201111E-11</v>
      </c>
      <c r="E69" s="20"/>
      <c r="F69" s="238"/>
      <c r="G69" s="139">
        <v>3</v>
      </c>
      <c r="H69" s="139">
        <f>-AI40</f>
        <v>2237796.5136794439</v>
      </c>
      <c r="I69" s="139">
        <f>H13</f>
        <v>2000093.8800000001</v>
      </c>
      <c r="J69" s="167">
        <f t="shared" si="26"/>
        <v>0.89377826257821502</v>
      </c>
      <c r="K69" s="239">
        <f t="shared" si="27"/>
        <v>1190508.6742413642</v>
      </c>
      <c r="L69" s="240"/>
      <c r="M69" s="139">
        <f>H13</f>
        <v>2000093.8800000001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173"/>
    </row>
    <row r="70" spans="1:36" ht="15.75" thickBot="1" x14ac:dyDescent="0.3">
      <c r="A70" s="231" t="s">
        <v>92</v>
      </c>
      <c r="B70" s="231"/>
      <c r="C70" s="231"/>
      <c r="D70" s="165">
        <f t="shared" si="25"/>
        <v>1.4551915228366852E-11</v>
      </c>
      <c r="E70" s="20"/>
      <c r="F70" s="237">
        <v>3</v>
      </c>
      <c r="G70" s="139">
        <v>3</v>
      </c>
      <c r="H70" s="139">
        <f>AI46</f>
        <v>2237796.5136794457</v>
      </c>
      <c r="I70" s="139">
        <f>J14</f>
        <v>3000048.0000000005</v>
      </c>
      <c r="J70" s="167">
        <f t="shared" si="26"/>
        <v>1.3406259155651468</v>
      </c>
      <c r="K70" s="239">
        <f t="shared" si="27"/>
        <v>1190508.6742413652</v>
      </c>
      <c r="L70" s="240"/>
      <c r="M70" s="139">
        <f>J14</f>
        <v>3000048.0000000005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173"/>
    </row>
    <row r="71" spans="1:36" ht="15.75" thickBot="1" x14ac:dyDescent="0.3">
      <c r="A71" s="231" t="s">
        <v>93</v>
      </c>
      <c r="B71" s="231"/>
      <c r="C71" s="231"/>
      <c r="D71" s="165">
        <f t="shared" si="25"/>
        <v>1.862645149230957E-9</v>
      </c>
      <c r="E71" s="20"/>
      <c r="F71" s="238"/>
      <c r="G71" s="139">
        <v>4</v>
      </c>
      <c r="H71" s="139">
        <f>-AI49</f>
        <v>-5639183.5696191601</v>
      </c>
      <c r="I71" s="139">
        <f>-J14</f>
        <v>-3000048.0000000005</v>
      </c>
      <c r="J71" s="203">
        <f t="shared" si="26"/>
        <v>0.53200041512438434</v>
      </c>
      <c r="K71" s="239">
        <f t="shared" si="27"/>
        <v>-3000048.0000000009</v>
      </c>
      <c r="L71" s="240"/>
      <c r="M71" s="139">
        <f>-J14</f>
        <v>-3000048.0000000005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173"/>
    </row>
    <row r="72" spans="1:36" ht="15.75" thickBot="1" x14ac:dyDescent="0.3">
      <c r="A72" s="186"/>
      <c r="B72" s="187"/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  <c r="AA72" s="187"/>
      <c r="AB72" s="187"/>
      <c r="AC72" s="187"/>
      <c r="AD72" s="187"/>
      <c r="AE72" s="187"/>
      <c r="AF72" s="187"/>
      <c r="AG72" s="187"/>
      <c r="AH72" s="187"/>
      <c r="AI72" s="187"/>
      <c r="AJ72" s="188"/>
    </row>
    <row r="73" spans="1:36" ht="15.75" thickBot="1" x14ac:dyDescent="0.3">
      <c r="A73" s="244" t="s">
        <v>148</v>
      </c>
      <c r="B73" s="245"/>
      <c r="C73" s="171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171"/>
      <c r="AI73" s="171"/>
      <c r="AJ73" s="172"/>
    </row>
    <row r="74" spans="1:36" x14ac:dyDescent="0.25">
      <c r="A74" s="249" t="s">
        <v>43</v>
      </c>
      <c r="B74" s="251" t="s">
        <v>45</v>
      </c>
      <c r="C74" s="251"/>
      <c r="D74" s="251" t="s">
        <v>46</v>
      </c>
      <c r="E74" s="251"/>
      <c r="F74" s="235" t="s">
        <v>44</v>
      </c>
      <c r="G74" s="235" t="s">
        <v>130</v>
      </c>
      <c r="H74" s="235"/>
      <c r="I74" s="235"/>
      <c r="J74" s="235" t="s">
        <v>131</v>
      </c>
      <c r="K74" s="235"/>
      <c r="L74" s="247"/>
      <c r="P74" s="209"/>
      <c r="Q74" s="209"/>
      <c r="R74" s="209"/>
      <c r="S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173"/>
    </row>
    <row r="75" spans="1:36" x14ac:dyDescent="0.25">
      <c r="A75" s="250"/>
      <c r="B75" s="97" t="s">
        <v>53</v>
      </c>
      <c r="C75" s="97" t="s">
        <v>54</v>
      </c>
      <c r="D75" s="97" t="s">
        <v>53</v>
      </c>
      <c r="E75" s="97" t="s">
        <v>54</v>
      </c>
      <c r="F75" s="236"/>
      <c r="G75" s="98" t="s">
        <v>115</v>
      </c>
      <c r="H75" s="98" t="s">
        <v>116</v>
      </c>
      <c r="I75" s="98" t="s">
        <v>117</v>
      </c>
      <c r="J75" s="204" t="s">
        <v>115</v>
      </c>
      <c r="K75" s="98" t="s">
        <v>116</v>
      </c>
      <c r="L75" s="212" t="s">
        <v>117</v>
      </c>
      <c r="P75" s="205"/>
      <c r="Q75" s="210"/>
      <c r="R75" s="210"/>
      <c r="S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173"/>
    </row>
    <row r="76" spans="1:36" x14ac:dyDescent="0.25">
      <c r="A76" s="174">
        <v>1</v>
      </c>
      <c r="B76" s="147">
        <v>0</v>
      </c>
      <c r="C76" s="147">
        <v>0</v>
      </c>
      <c r="D76" s="147">
        <f>$B$19</f>
        <v>0</v>
      </c>
      <c r="E76" s="147">
        <f>$B$13</f>
        <v>500</v>
      </c>
      <c r="F76" s="107">
        <f>SQRT(((D76-B76)^2)+((E76-C76)^2))</f>
        <v>500</v>
      </c>
      <c r="G76" s="100">
        <f>AI83</f>
        <v>-20885.632219949697</v>
      </c>
      <c r="H76" s="137">
        <f>AI84</f>
        <v>23875.310007945594</v>
      </c>
      <c r="I76" s="137">
        <f>AI85</f>
        <v>7468620.6680302713</v>
      </c>
      <c r="J76" s="207">
        <f>AI86</f>
        <v>20885.632219949697</v>
      </c>
      <c r="K76" s="137">
        <f>AI87</f>
        <v>-23875.310007945594</v>
      </c>
      <c r="L76" s="213">
        <f>AI88</f>
        <v>4469034.3359425282</v>
      </c>
      <c r="P76" s="206"/>
      <c r="Q76" s="211"/>
      <c r="R76" s="211"/>
      <c r="S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173"/>
    </row>
    <row r="77" spans="1:36" x14ac:dyDescent="0.25">
      <c r="A77" s="174">
        <v>2</v>
      </c>
      <c r="B77" s="147">
        <f>$D$19</f>
        <v>0</v>
      </c>
      <c r="C77" s="147">
        <f>$E$19</f>
        <v>500</v>
      </c>
      <c r="D77" s="147">
        <f>$F$13</f>
        <v>600</v>
      </c>
      <c r="E77" s="147">
        <f>$D$13</f>
        <v>300</v>
      </c>
      <c r="F77" s="107">
        <f>SQRT(((D77-B77)^2)+((E77-C77)^2))</f>
        <v>632.45553203367592</v>
      </c>
      <c r="G77" s="100">
        <f>AI92</f>
        <v>21901.840900468196</v>
      </c>
      <c r="H77" s="137">
        <f>AI93</f>
        <v>-14714.775762390471</v>
      </c>
      <c r="I77" s="137">
        <f>AI94</f>
        <v>-4469034.3359425282</v>
      </c>
      <c r="J77" s="207">
        <f>AI95</f>
        <v>-21901.840900468196</v>
      </c>
      <c r="K77" s="137">
        <f>AI96</f>
        <v>14714.775762390471</v>
      </c>
      <c r="L77" s="213">
        <f>AI97</f>
        <v>-4837406.9976163767</v>
      </c>
      <c r="P77" s="206"/>
      <c r="Q77" s="211"/>
      <c r="R77" s="211"/>
      <c r="S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173"/>
    </row>
    <row r="78" spans="1:36" ht="15.75" thickBot="1" x14ac:dyDescent="0.3">
      <c r="A78" s="175">
        <v>3</v>
      </c>
      <c r="B78" s="65">
        <f>$D$20</f>
        <v>600</v>
      </c>
      <c r="C78" s="65">
        <f>$E$20</f>
        <v>300</v>
      </c>
      <c r="D78" s="65">
        <f>$B$21</f>
        <v>600</v>
      </c>
      <c r="E78" s="65">
        <v>0</v>
      </c>
      <c r="F78" s="141">
        <f>SQRT(((D78-B78)^2)+((E78-C78)^2))</f>
        <v>300</v>
      </c>
      <c r="G78" s="105">
        <f>AI101</f>
        <v>20885.632219949664</v>
      </c>
      <c r="H78" s="101">
        <f>AI102</f>
        <v>16124.689992054584</v>
      </c>
      <c r="I78" s="101">
        <f>AI103</f>
        <v>4837406.9976163805</v>
      </c>
      <c r="J78" s="208">
        <f>AI104</f>
        <v>-20885.632219949664</v>
      </c>
      <c r="K78" s="101">
        <f>AI105</f>
        <v>-16124.689992054584</v>
      </c>
      <c r="L78" s="214">
        <f>AI106</f>
        <v>0</v>
      </c>
      <c r="P78" s="206"/>
      <c r="Q78" s="211"/>
      <c r="R78" s="211"/>
      <c r="S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173"/>
    </row>
    <row r="79" spans="1:36" ht="15.75" thickBot="1" x14ac:dyDescent="0.3">
      <c r="A79" s="176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173"/>
    </row>
    <row r="80" spans="1:36" x14ac:dyDescent="0.25">
      <c r="A80" s="177" t="s">
        <v>118</v>
      </c>
      <c r="B80" s="108">
        <f>(D76-B76)/F76</f>
        <v>0</v>
      </c>
      <c r="C80" s="109" t="s">
        <v>119</v>
      </c>
      <c r="D80" s="108">
        <f>$B$7+0.5*$B$9</f>
        <v>23.1</v>
      </c>
      <c r="E80" s="109" t="s">
        <v>30</v>
      </c>
      <c r="F80" s="110">
        <f>2*((($B$6*($B$7)^3)/12)+($B$6*$B$7)*($B$9+2*$B$7-0.5*$B$7-D80)^2)+($B$8*($B$9)^3)/12</f>
        <v>9069.1586666666681</v>
      </c>
      <c r="G80" s="109" t="s">
        <v>120</v>
      </c>
      <c r="H80" s="150">
        <f>4*$B$14*F80/F76</f>
        <v>152361865.60000002</v>
      </c>
      <c r="I80" s="109" t="s">
        <v>121</v>
      </c>
      <c r="J80" s="111">
        <f>6*$B$14*F80/(F76^2)</f>
        <v>457085.59680000006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173"/>
    </row>
    <row r="81" spans="1:56" x14ac:dyDescent="0.25">
      <c r="A81" s="178" t="s">
        <v>122</v>
      </c>
      <c r="B81" s="112">
        <f>(E76-C76)/F76</f>
        <v>1</v>
      </c>
      <c r="C81" s="113" t="s">
        <v>13</v>
      </c>
      <c r="D81" s="114">
        <f>(2*$B$6*$B$7)+($B$9*$B$8)</f>
        <v>32.6</v>
      </c>
      <c r="E81" s="113" t="s">
        <v>123</v>
      </c>
      <c r="F81" s="151">
        <f>$B$14*D81/F76</f>
        <v>136920</v>
      </c>
      <c r="G81" s="113" t="s">
        <v>124</v>
      </c>
      <c r="H81" s="151">
        <f>2*$B$14*F80/F76</f>
        <v>76180932.800000012</v>
      </c>
      <c r="I81" s="113" t="s">
        <v>125</v>
      </c>
      <c r="J81" s="115">
        <f>12*$B$14*F80/(F76^3)</f>
        <v>1828.3423872000003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173"/>
    </row>
    <row r="82" spans="1:56" x14ac:dyDescent="0.25">
      <c r="A82" s="179">
        <f>G83</f>
        <v>1</v>
      </c>
      <c r="B82" s="112">
        <f>G84</f>
        <v>2</v>
      </c>
      <c r="C82" s="112">
        <f>G85</f>
        <v>3</v>
      </c>
      <c r="D82" s="112">
        <f>G86</f>
        <v>7</v>
      </c>
      <c r="E82" s="112">
        <f>G87</f>
        <v>8</v>
      </c>
      <c r="F82" s="112">
        <f>G88</f>
        <v>9</v>
      </c>
      <c r="G82" s="113"/>
      <c r="H82" s="113"/>
      <c r="I82" s="113"/>
      <c r="J82" s="116">
        <v>1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173"/>
      <c r="AY82">
        <f>AX83</f>
        <v>1</v>
      </c>
      <c r="AZ82">
        <f>AX84</f>
        <v>2</v>
      </c>
      <c r="BA82">
        <f>AX85</f>
        <v>3</v>
      </c>
      <c r="BB82">
        <f>AX86</f>
        <v>7</v>
      </c>
      <c r="BC82">
        <f>AX87</f>
        <v>8</v>
      </c>
      <c r="BD82">
        <f>AX88</f>
        <v>9</v>
      </c>
    </row>
    <row r="83" spans="1:56" x14ac:dyDescent="0.25">
      <c r="A83" s="180">
        <f>(F81*B80^2+J81*B81^2)</f>
        <v>1828.3423872000003</v>
      </c>
      <c r="B83" s="112">
        <f>(F81-J81)*B80*B81</f>
        <v>0</v>
      </c>
      <c r="C83" s="112">
        <f>-J80*B81</f>
        <v>-457085.59680000006</v>
      </c>
      <c r="D83" s="112">
        <f>-(F81*B80^2+J81*B81^2)</f>
        <v>-1828.3423872000003</v>
      </c>
      <c r="E83" s="112">
        <f>-(F81-J81)*B80*B81</f>
        <v>0</v>
      </c>
      <c r="F83" s="112">
        <f>-J80*B81</f>
        <v>-457085.59680000006</v>
      </c>
      <c r="G83" s="112">
        <v>1</v>
      </c>
      <c r="H83" s="113"/>
      <c r="I83" s="113"/>
      <c r="J83" s="117"/>
      <c r="K83" s="99"/>
      <c r="L83" s="120">
        <f>F81</f>
        <v>136920</v>
      </c>
      <c r="M83" s="120">
        <v>0</v>
      </c>
      <c r="N83" s="120">
        <v>0</v>
      </c>
      <c r="O83" s="120">
        <f>-F81</f>
        <v>-136920</v>
      </c>
      <c r="P83" s="120">
        <v>0</v>
      </c>
      <c r="Q83" s="119">
        <v>0</v>
      </c>
      <c r="R83" s="99"/>
      <c r="S83" s="120">
        <f>B80</f>
        <v>0</v>
      </c>
      <c r="T83" s="120">
        <f>B81</f>
        <v>1</v>
      </c>
      <c r="U83" s="120">
        <v>0</v>
      </c>
      <c r="V83" s="120">
        <v>0</v>
      </c>
      <c r="W83" s="120">
        <v>0</v>
      </c>
      <c r="X83" s="119">
        <v>0</v>
      </c>
      <c r="Y83" s="99"/>
      <c r="Z83" s="120">
        <f>L83*S83+M83*S84+N83*S85+O83*S86+P83*S87+Q83*S88</f>
        <v>0</v>
      </c>
      <c r="AA83" s="120">
        <f>L83*T83+M83*T84+N83*T85+O83*T86+P83*T87+Q83*T88</f>
        <v>136920</v>
      </c>
      <c r="AB83" s="120">
        <f>L83*U83+M83*U84+N83*U85+O83*U86+P83*U87+Q83*U88</f>
        <v>0</v>
      </c>
      <c r="AC83" s="120">
        <f>L83*V83+M83*V84+N83*V85+O83*V86+P83*V87+Q83*V88</f>
        <v>0</v>
      </c>
      <c r="AD83" s="120">
        <f>L83*W83+M83*W84+N83*W85+O83*W86+P83*W87+Q83*W88</f>
        <v>-136920</v>
      </c>
      <c r="AE83" s="119">
        <f>L83*X83+M83*X84+N83*X85+O83*X86+P83*X87+Q83*X88</f>
        <v>0</v>
      </c>
      <c r="AF83" s="99"/>
      <c r="AG83" s="121">
        <v>0</v>
      </c>
      <c r="AH83" s="121"/>
      <c r="AI83" s="121">
        <f>Z83*AG83+AA83*AG84+AB83*AG85+AC83*AG86+AD83*AG87+AE83*AG88</f>
        <v>-20885.632219949697</v>
      </c>
      <c r="AJ83" s="173"/>
      <c r="AX83">
        <f t="shared" ref="AX83:AX88" si="28">G83</f>
        <v>1</v>
      </c>
      <c r="AY83">
        <f>AX83*1000+AY82</f>
        <v>1001</v>
      </c>
      <c r="AZ83">
        <f>AX83*1000+AZ82</f>
        <v>1002</v>
      </c>
      <c r="BA83">
        <f>AX83*1000+BA82</f>
        <v>1003</v>
      </c>
      <c r="BB83">
        <f>AX83*1000+BB82</f>
        <v>1007</v>
      </c>
      <c r="BC83">
        <f>AX83*1000+BC82</f>
        <v>1008</v>
      </c>
      <c r="BD83">
        <f>AX83*1000+BD82</f>
        <v>1009</v>
      </c>
    </row>
    <row r="84" spans="1:56" x14ac:dyDescent="0.25">
      <c r="A84" s="179">
        <f>(F81-J81)*B80*B81</f>
        <v>0</v>
      </c>
      <c r="B84" s="122">
        <f>(F81*B81^2+J81*B80^2)</f>
        <v>136920</v>
      </c>
      <c r="C84" s="112">
        <f>J80*B80</f>
        <v>0</v>
      </c>
      <c r="D84" s="112">
        <f>-(F81-J81)*B80*B81</f>
        <v>0</v>
      </c>
      <c r="E84" s="112">
        <f>-(F81*B81^2+J81*B80^2)</f>
        <v>-136920</v>
      </c>
      <c r="F84" s="112">
        <f>J80*B80</f>
        <v>0</v>
      </c>
      <c r="G84" s="112">
        <v>2</v>
      </c>
      <c r="H84" s="113"/>
      <c r="I84" s="113"/>
      <c r="J84" s="117"/>
      <c r="K84" s="99"/>
      <c r="L84" s="120">
        <v>0</v>
      </c>
      <c r="M84" s="120">
        <f>J81</f>
        <v>1828.3423872000003</v>
      </c>
      <c r="N84" s="120">
        <f>J80</f>
        <v>457085.59680000006</v>
      </c>
      <c r="O84" s="120">
        <v>0</v>
      </c>
      <c r="P84" s="120">
        <f>-J81</f>
        <v>-1828.3423872000003</v>
      </c>
      <c r="Q84" s="119">
        <f>J80</f>
        <v>457085.59680000006</v>
      </c>
      <c r="R84" s="99"/>
      <c r="S84" s="120">
        <f>-B81</f>
        <v>-1</v>
      </c>
      <c r="T84" s="120">
        <f>B80</f>
        <v>0</v>
      </c>
      <c r="U84" s="120">
        <v>0</v>
      </c>
      <c r="V84" s="120">
        <v>0</v>
      </c>
      <c r="W84" s="120">
        <v>0</v>
      </c>
      <c r="X84" s="119">
        <v>0</v>
      </c>
      <c r="Y84" s="99"/>
      <c r="Z84" s="120">
        <f>L84*S83+M84*S84+N84*S85+O84*S86+P84*S87+Q84*S88</f>
        <v>-1828.3423872000003</v>
      </c>
      <c r="AA84" s="120">
        <f>L84*T83+M84*T84+N84*T85+O84*T86+P84*T87+Q84*T88</f>
        <v>0</v>
      </c>
      <c r="AB84" s="120">
        <f>L84*U83+M84*U84+N84*U85+O84*U86+P84*U87+Q84*U88</f>
        <v>457085.59680000006</v>
      </c>
      <c r="AC84" s="120">
        <f>L84*V83+M84*V84+N84*V85+O84*V86+P84*V87+Q84*V88</f>
        <v>1828.3423872000003</v>
      </c>
      <c r="AD84" s="120">
        <f>L84*W83+M84*W84+N84*W85+O84*W86+P84*W87+Q84*W88</f>
        <v>0</v>
      </c>
      <c r="AE84" s="119">
        <f>L84*X83+M84*X84+N84*X85+O84*X86+P84*X87+Q84*X88</f>
        <v>457085.59680000006</v>
      </c>
      <c r="AF84" s="99"/>
      <c r="AG84" s="121">
        <v>0</v>
      </c>
      <c r="AH84" s="121"/>
      <c r="AI84" s="121">
        <f>Z84*AG83+AA84*AG84+AB84*AG85+AC84*AG86+AD84*AG87+AE84*AG88</f>
        <v>23875.310007945594</v>
      </c>
      <c r="AJ84" s="173"/>
      <c r="AX84">
        <f t="shared" si="28"/>
        <v>2</v>
      </c>
      <c r="AY84">
        <f>AX84*1000+AY82</f>
        <v>2001</v>
      </c>
      <c r="AZ84">
        <f>AX84*1000+AZ82</f>
        <v>2002</v>
      </c>
      <c r="BA84">
        <f>AX84*1000+BA82</f>
        <v>2003</v>
      </c>
      <c r="BB84">
        <f>AX84*1000+BB82</f>
        <v>2007</v>
      </c>
      <c r="BC84">
        <f>AX84*1000+BC82</f>
        <v>2008</v>
      </c>
      <c r="BD84">
        <f>AX84*1000+BD82</f>
        <v>2009</v>
      </c>
    </row>
    <row r="85" spans="1:56" x14ac:dyDescent="0.25">
      <c r="A85" s="179">
        <f>-J80*B81</f>
        <v>-457085.59680000006</v>
      </c>
      <c r="B85" s="112">
        <f>J80*B80</f>
        <v>0</v>
      </c>
      <c r="C85" s="122">
        <f>H80</f>
        <v>152361865.60000002</v>
      </c>
      <c r="D85" s="112">
        <f>J80*B81</f>
        <v>457085.59680000006</v>
      </c>
      <c r="E85" s="112">
        <f>-J80*B80</f>
        <v>0</v>
      </c>
      <c r="F85" s="112">
        <f>H81</f>
        <v>76180932.800000012</v>
      </c>
      <c r="G85" s="112">
        <v>3</v>
      </c>
      <c r="H85" s="113"/>
      <c r="I85" s="113"/>
      <c r="J85" s="117"/>
      <c r="K85" s="99"/>
      <c r="L85" s="120">
        <v>0</v>
      </c>
      <c r="M85" s="120">
        <f>J80</f>
        <v>457085.59680000006</v>
      </c>
      <c r="N85" s="120">
        <f>H80</f>
        <v>152361865.60000002</v>
      </c>
      <c r="O85" s="120">
        <v>0</v>
      </c>
      <c r="P85" s="120">
        <f>-J80</f>
        <v>-457085.59680000006</v>
      </c>
      <c r="Q85" s="119">
        <f>H81</f>
        <v>76180932.800000012</v>
      </c>
      <c r="R85" s="99"/>
      <c r="S85" s="120">
        <v>0</v>
      </c>
      <c r="T85" s="120">
        <v>0</v>
      </c>
      <c r="U85" s="120">
        <v>1</v>
      </c>
      <c r="V85" s="120">
        <v>0</v>
      </c>
      <c r="W85" s="120">
        <v>0</v>
      </c>
      <c r="X85" s="119">
        <v>0</v>
      </c>
      <c r="Y85" s="99"/>
      <c r="Z85" s="120">
        <f>L85*S83+M85*S84+N85*S85+O85*S86+P85*S87+Q85*S88</f>
        <v>-457085.59680000006</v>
      </c>
      <c r="AA85" s="120">
        <f>L85*T83+M85*T84+N85*T85+O85*T86+P85*T87+Q85*T88</f>
        <v>0</v>
      </c>
      <c r="AB85" s="120">
        <f>L85*U83+M85*U84+N85*U85+O85*U86+P85*U87+Q85*U88</f>
        <v>152361865.60000002</v>
      </c>
      <c r="AC85" s="120">
        <f>L85*V83+M85*V84+N85*V85+O85*V86+P85*V87+Q85*V88</f>
        <v>457085.59680000006</v>
      </c>
      <c r="AD85" s="120">
        <f>L85*W83+M85*W84+N85*W85+O85*W86+P85*W87+Q85*W88</f>
        <v>0</v>
      </c>
      <c r="AE85" s="119">
        <f>L85*X83+M85*X84+N85*X85+O85*X86+P85*X87+Q85*X88</f>
        <v>76180932.800000012</v>
      </c>
      <c r="AF85" s="99"/>
      <c r="AG85" s="121">
        <v>0</v>
      </c>
      <c r="AH85" s="121"/>
      <c r="AI85" s="121">
        <f>Z85*AG83+AA85*AG84+AB85*AG85+AC85*AG86+AD85*AG87+AE85*AG88</f>
        <v>7468620.6680302713</v>
      </c>
      <c r="AJ85" s="173"/>
      <c r="AX85">
        <f t="shared" si="28"/>
        <v>3</v>
      </c>
      <c r="AY85">
        <f>AX85*1000+AY82</f>
        <v>3001</v>
      </c>
      <c r="AZ85">
        <f>AX85*1000+AZ82</f>
        <v>3002</v>
      </c>
      <c r="BA85">
        <f>AX85*1000+BA82</f>
        <v>3003</v>
      </c>
      <c r="BB85">
        <f>AX85*1000+BB82</f>
        <v>3007</v>
      </c>
      <c r="BC85">
        <f>AX85*1000+BC82</f>
        <v>3008</v>
      </c>
      <c r="BD85">
        <f>AX85*1000+BD82</f>
        <v>3009</v>
      </c>
    </row>
    <row r="86" spans="1:56" ht="15.75" x14ac:dyDescent="0.25">
      <c r="A86" s="179">
        <f>-(F81*B80^2+J81*B81^2)</f>
        <v>-1828.3423872000003</v>
      </c>
      <c r="B86" s="112">
        <f>-(F81-J81)*B80*B81</f>
        <v>0</v>
      </c>
      <c r="C86" s="112">
        <f>J80*B81</f>
        <v>457085.59680000006</v>
      </c>
      <c r="D86" s="122">
        <f>(F81*B80^2+J81*B81^2)</f>
        <v>1828.3423872000003</v>
      </c>
      <c r="E86" s="112">
        <f>(F81-J81)*B80*B81</f>
        <v>0</v>
      </c>
      <c r="F86" s="112">
        <f>J80*B81</f>
        <v>457085.59680000006</v>
      </c>
      <c r="G86" s="112">
        <v>7</v>
      </c>
      <c r="H86" s="113"/>
      <c r="I86" s="113"/>
      <c r="J86" s="117"/>
      <c r="K86" s="99"/>
      <c r="L86" s="120">
        <f>-F81</f>
        <v>-136920</v>
      </c>
      <c r="M86" s="120">
        <v>0</v>
      </c>
      <c r="N86" s="120">
        <v>0</v>
      </c>
      <c r="O86" s="120">
        <f>F81</f>
        <v>136920</v>
      </c>
      <c r="P86" s="120">
        <v>0</v>
      </c>
      <c r="Q86" s="119">
        <v>0</v>
      </c>
      <c r="R86" s="123" t="s">
        <v>126</v>
      </c>
      <c r="S86" s="120">
        <v>0</v>
      </c>
      <c r="T86" s="120">
        <v>0</v>
      </c>
      <c r="U86" s="120">
        <v>0</v>
      </c>
      <c r="V86" s="120">
        <f>B80</f>
        <v>0</v>
      </c>
      <c r="W86" s="120">
        <f>B81</f>
        <v>1</v>
      </c>
      <c r="X86" s="119">
        <v>0</v>
      </c>
      <c r="Y86" s="124" t="s">
        <v>58</v>
      </c>
      <c r="Z86" s="120">
        <f>L86*S83+M86*S84+N86*S85+O86*S86+P86*S87+Q86*S88</f>
        <v>0</v>
      </c>
      <c r="AA86" s="120">
        <f>L86*T83+M86*T84+N86*T85+O86*T86+P86*T87+Q86*T88</f>
        <v>-136920</v>
      </c>
      <c r="AB86" s="120">
        <f>L86*U83+M86*U84+N86*U85+O86*U86+P86*U87+Q86*U88</f>
        <v>0</v>
      </c>
      <c r="AC86" s="120">
        <f>L86*V83+M86*V84+N86*V85+O86*V86+P86*V87+Q86*V88</f>
        <v>0</v>
      </c>
      <c r="AD86" s="120">
        <f>L86*W83+M86*W84+N86*W85+O86*W86+P86*W87+Q86*W88</f>
        <v>136920</v>
      </c>
      <c r="AE86" s="119">
        <f>L86*X83+M86*X84+N86*X85+O86*X86+P86*X87+Q86*X88</f>
        <v>0</v>
      </c>
      <c r="AF86" s="123" t="s">
        <v>126</v>
      </c>
      <c r="AG86" s="166">
        <f>K6</f>
        <v>22.902071457522705</v>
      </c>
      <c r="AH86" s="123" t="s">
        <v>58</v>
      </c>
      <c r="AI86" s="121">
        <f>Z86*AG83+AA86*AG84+AB86*AG85+AC86*AG86+AD86*AG87+AE86*AG88</f>
        <v>20885.632219949697</v>
      </c>
      <c r="AJ86" s="173"/>
      <c r="AX86">
        <f t="shared" si="28"/>
        <v>7</v>
      </c>
      <c r="AY86">
        <f>AX86*1000+AY82</f>
        <v>7001</v>
      </c>
      <c r="AZ86">
        <f>AX86*1000+AZ82</f>
        <v>7002</v>
      </c>
      <c r="BA86">
        <f>AX86*1000+BA82</f>
        <v>7003</v>
      </c>
      <c r="BB86">
        <f>AX86*1000+BB82</f>
        <v>7007</v>
      </c>
      <c r="BC86">
        <f>AX86*1000+BC82</f>
        <v>7008</v>
      </c>
      <c r="BD86">
        <f>AX86*1000+BD82</f>
        <v>7009</v>
      </c>
    </row>
    <row r="87" spans="1:56" x14ac:dyDescent="0.25">
      <c r="A87" s="179">
        <f>-(F81-J81)*B80*B81</f>
        <v>0</v>
      </c>
      <c r="B87" s="112">
        <f>-(F81*B81^2+J81*B80^2)</f>
        <v>-136920</v>
      </c>
      <c r="C87" s="112">
        <f>-J80*B80</f>
        <v>0</v>
      </c>
      <c r="D87" s="112">
        <f>(F81-J81)*B80*B81</f>
        <v>0</v>
      </c>
      <c r="E87" s="122">
        <f>(F81*B81^2+J81*B80^2)</f>
        <v>136920</v>
      </c>
      <c r="F87" s="112">
        <f>-J80*B80</f>
        <v>0</v>
      </c>
      <c r="G87" s="112">
        <v>8</v>
      </c>
      <c r="H87" s="113"/>
      <c r="I87" s="113"/>
      <c r="J87" s="117"/>
      <c r="K87" s="99"/>
      <c r="L87" s="120">
        <v>0</v>
      </c>
      <c r="M87" s="120">
        <f>-J81</f>
        <v>-1828.3423872000003</v>
      </c>
      <c r="N87" s="120">
        <f>-J80</f>
        <v>-457085.59680000006</v>
      </c>
      <c r="O87" s="120">
        <v>0</v>
      </c>
      <c r="P87" s="120">
        <f>J81</f>
        <v>1828.3423872000003</v>
      </c>
      <c r="Q87" s="119">
        <f>-J80</f>
        <v>-457085.59680000006</v>
      </c>
      <c r="R87" s="99"/>
      <c r="S87" s="120">
        <v>0</v>
      </c>
      <c r="T87" s="120">
        <v>0</v>
      </c>
      <c r="U87" s="120">
        <v>0</v>
      </c>
      <c r="V87" s="120">
        <f>-B81</f>
        <v>-1</v>
      </c>
      <c r="W87" s="120">
        <f>B80</f>
        <v>0</v>
      </c>
      <c r="X87" s="119">
        <v>0</v>
      </c>
      <c r="Y87" s="99"/>
      <c r="Z87" s="120">
        <f>L87*S83+M87*S84+N87*S85+O87*S86+P87*S87+Q87*S88</f>
        <v>1828.3423872000003</v>
      </c>
      <c r="AA87" s="120">
        <f>L87*T83+M87*T84+N87*T85+O87*T86+P87*T87+Q87*T88</f>
        <v>0</v>
      </c>
      <c r="AB87" s="120">
        <f>L87*U83+M87*U84+N87*U85+O87*U86+P87*U87+Q87*U88</f>
        <v>-457085.59680000006</v>
      </c>
      <c r="AC87" s="120">
        <f>L87*V83+M87*V84+N87*V85+O87*V86+P87*V87+Q87*V88</f>
        <v>-1828.3423872000003</v>
      </c>
      <c r="AD87" s="120">
        <f>L87*W83+M87*W84+N87*W85+O87*W86+P87*W87+Q87*W88</f>
        <v>0</v>
      </c>
      <c r="AE87" s="119">
        <f>L87*X83+M87*X84+N87*X85+O87*X86+P87*X87+Q87*X88</f>
        <v>-457085.59680000006</v>
      </c>
      <c r="AF87" s="99"/>
      <c r="AG87" s="121">
        <f>K7</f>
        <v>0.1525389440545552</v>
      </c>
      <c r="AH87" s="121"/>
      <c r="AI87" s="121">
        <f>Z87*AG83+AA87*AG84+AB87*AG85+AC87*AG86+AD87*AG87+AE87*AG88</f>
        <v>-23875.310007945594</v>
      </c>
      <c r="AJ87" s="173"/>
      <c r="AX87">
        <f t="shared" si="28"/>
        <v>8</v>
      </c>
      <c r="AY87">
        <f>AX87*1000+AY82</f>
        <v>8001</v>
      </c>
      <c r="AZ87">
        <f>AX87*1000+AZ82</f>
        <v>8002</v>
      </c>
      <c r="BA87">
        <f>AX87*1000+BA82</f>
        <v>8003</v>
      </c>
      <c r="BB87">
        <f>AX87*1000+BB82</f>
        <v>8007</v>
      </c>
      <c r="BC87">
        <f>AX87*1000+BC82</f>
        <v>8008</v>
      </c>
      <c r="BD87">
        <f>AX87*1000+BD82</f>
        <v>8009</v>
      </c>
    </row>
    <row r="88" spans="1:56" ht="15.75" thickBot="1" x14ac:dyDescent="0.3">
      <c r="A88" s="181">
        <f>-J80*B81</f>
        <v>-457085.59680000006</v>
      </c>
      <c r="B88" s="125">
        <f>J80*B80</f>
        <v>0</v>
      </c>
      <c r="C88" s="125">
        <f>H81</f>
        <v>76180932.800000012</v>
      </c>
      <c r="D88" s="125">
        <f>J80*B81</f>
        <v>457085.59680000006</v>
      </c>
      <c r="E88" s="125">
        <f>-J80*B80</f>
        <v>0</v>
      </c>
      <c r="F88" s="126">
        <f>H80</f>
        <v>152361865.60000002</v>
      </c>
      <c r="G88" s="125">
        <v>9</v>
      </c>
      <c r="H88" s="127"/>
      <c r="I88" s="127"/>
      <c r="J88" s="128"/>
      <c r="K88" s="99"/>
      <c r="L88" s="120">
        <v>0</v>
      </c>
      <c r="M88" s="120">
        <f>J80</f>
        <v>457085.59680000006</v>
      </c>
      <c r="N88" s="120">
        <f>H81</f>
        <v>76180932.800000012</v>
      </c>
      <c r="O88" s="120">
        <v>0</v>
      </c>
      <c r="P88" s="120">
        <f>-J80</f>
        <v>-457085.59680000006</v>
      </c>
      <c r="Q88" s="119">
        <f>H80</f>
        <v>152361865.60000002</v>
      </c>
      <c r="R88" s="99"/>
      <c r="S88" s="120">
        <v>0</v>
      </c>
      <c r="T88" s="120">
        <v>0</v>
      </c>
      <c r="U88" s="120">
        <v>0</v>
      </c>
      <c r="V88" s="120">
        <v>0</v>
      </c>
      <c r="W88" s="120">
        <v>0</v>
      </c>
      <c r="X88" s="119">
        <v>1</v>
      </c>
      <c r="Y88" s="99"/>
      <c r="Z88" s="120">
        <f>L88*S83+M88*S84+N88*S85+O88*S86+P88*S87+Q88*S88</f>
        <v>-457085.59680000006</v>
      </c>
      <c r="AA88" s="120">
        <f>L88*T83+M88*T84+N88*T85+O88*T86+P88*T87+Q88*T88</f>
        <v>0</v>
      </c>
      <c r="AB88" s="120">
        <f>L88*U83+M88*U84+N88*U85+O88*U86+P88*U87+Q88*U88</f>
        <v>76180932.800000012</v>
      </c>
      <c r="AC88" s="120">
        <f>L88*V83+M88*V84+N88*V85+O88*V86+P88*V87+Q88*V88</f>
        <v>457085.59680000006</v>
      </c>
      <c r="AD88" s="120">
        <f>L88*W83+M88*W84+N88*W85+O88*W86+P88*W87+Q88*W88</f>
        <v>0</v>
      </c>
      <c r="AE88" s="119">
        <f>L88*X83+M88*X84+N88*X85+O88*X86+P88*X87+Q88*X88</f>
        <v>152361865.60000002</v>
      </c>
      <c r="AF88" s="99"/>
      <c r="AG88" s="121">
        <f>K8</f>
        <v>-3.9374502540716359E-2</v>
      </c>
      <c r="AH88" s="121"/>
      <c r="AI88" s="121">
        <f>Z88*AG83+AA88*AG84+AB88*AG85+AC88*AG86+AD88*AG87+AE88*AG88</f>
        <v>4469034.3359425282</v>
      </c>
      <c r="AJ88" s="173"/>
      <c r="AX88">
        <f t="shared" si="28"/>
        <v>9</v>
      </c>
      <c r="AY88">
        <f>AX88*1000+AY82</f>
        <v>9001</v>
      </c>
      <c r="AZ88">
        <f>AX88*1000+AZ82</f>
        <v>9002</v>
      </c>
      <c r="BA88">
        <f>AX88*1000+BA82</f>
        <v>9003</v>
      </c>
      <c r="BB88">
        <f>AX88*1000+BB82</f>
        <v>9007</v>
      </c>
      <c r="BC88">
        <f>AX88*1000+BC82</f>
        <v>9008</v>
      </c>
      <c r="BD88">
        <f>AX88*1000+BD82</f>
        <v>9009</v>
      </c>
    </row>
    <row r="89" spans="1:56" x14ac:dyDescent="0.25">
      <c r="A89" s="177" t="s">
        <v>118</v>
      </c>
      <c r="B89" s="108">
        <f>(D77-B77)/F77</f>
        <v>0.94868329805051377</v>
      </c>
      <c r="C89" s="109" t="s">
        <v>119</v>
      </c>
      <c r="D89" s="108">
        <f>$B$7+0.5*$B$10</f>
        <v>18.535</v>
      </c>
      <c r="E89" s="109" t="s">
        <v>30</v>
      </c>
      <c r="F89" s="110">
        <f>2*((($B$6*($B$7)^3)/12)+($B$6*$B$7)*($B$10+2*$B$7-0.5*$B$7-D89)^2)+($B$8*($B$10)^3)/12</f>
        <v>5298.9826476250009</v>
      </c>
      <c r="G89" s="109" t="s">
        <v>120</v>
      </c>
      <c r="H89" s="150">
        <f>4*$B$14*F89/F77</f>
        <v>70378788.682458609</v>
      </c>
      <c r="I89" s="109" t="s">
        <v>121</v>
      </c>
      <c r="J89" s="111">
        <f>6*$B$14*F89/(F77^2)</f>
        <v>166917.95340018751</v>
      </c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173"/>
    </row>
    <row r="90" spans="1:56" x14ac:dyDescent="0.25">
      <c r="A90" s="178" t="s">
        <v>122</v>
      </c>
      <c r="B90" s="112">
        <f>(E77-C77)/F77</f>
        <v>-0.31622776601683789</v>
      </c>
      <c r="C90" s="113" t="s">
        <v>13</v>
      </c>
      <c r="D90" s="114">
        <f>(2*$B$6*$B$7)+($B$10*$B$8)</f>
        <v>28.035000000000004</v>
      </c>
      <c r="E90" s="113" t="s">
        <v>123</v>
      </c>
      <c r="F90" s="151">
        <f>$B$14*D90/F77</f>
        <v>93087.176912961542</v>
      </c>
      <c r="G90" s="113" t="s">
        <v>124</v>
      </c>
      <c r="H90" s="151">
        <f>2*$B$14*F89/F77</f>
        <v>35189394.341229305</v>
      </c>
      <c r="I90" s="113" t="s">
        <v>125</v>
      </c>
      <c r="J90" s="115">
        <f>12*$B$14*F89/(F77^3)</f>
        <v>527.84091511843951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173"/>
    </row>
    <row r="91" spans="1:56" x14ac:dyDescent="0.25">
      <c r="A91" s="179">
        <f>G92</f>
        <v>7</v>
      </c>
      <c r="B91" s="112">
        <f>G93</f>
        <v>8</v>
      </c>
      <c r="C91" s="112">
        <f>G94</f>
        <v>9</v>
      </c>
      <c r="D91" s="112">
        <f>G95</f>
        <v>10</v>
      </c>
      <c r="E91" s="112">
        <f>G96</f>
        <v>11</v>
      </c>
      <c r="F91" s="112">
        <f>G97</f>
        <v>12</v>
      </c>
      <c r="G91" s="113"/>
      <c r="H91" s="113"/>
      <c r="I91" s="113"/>
      <c r="J91" s="116">
        <v>2</v>
      </c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173"/>
      <c r="AY91">
        <f>AX92</f>
        <v>7</v>
      </c>
      <c r="AZ91">
        <f>AX93</f>
        <v>8</v>
      </c>
      <c r="BA91">
        <f>AX94</f>
        <v>9</v>
      </c>
      <c r="BB91">
        <f>AX95</f>
        <v>10</v>
      </c>
      <c r="BC91">
        <f>AX96</f>
        <v>11</v>
      </c>
      <c r="BD91">
        <f>AX97</f>
        <v>12</v>
      </c>
    </row>
    <row r="92" spans="1:56" x14ac:dyDescent="0.25">
      <c r="A92" s="180">
        <f>(F90*B89^2+J90*B90^2)</f>
        <v>83831.243313177227</v>
      </c>
      <c r="B92" s="112">
        <f>(F90-J90)*B89*B90</f>
        <v>-27767.800799352925</v>
      </c>
      <c r="C92" s="112">
        <f>-J89*B90</f>
        <v>52784.091511843944</v>
      </c>
      <c r="D92" s="112">
        <f>-(F90*B89^2+J90*B90^2)</f>
        <v>-83831.243313177227</v>
      </c>
      <c r="E92" s="112">
        <f>-(F90-J90)*B89*B90</f>
        <v>27767.800799352925</v>
      </c>
      <c r="F92" s="112">
        <f>-J89*B90</f>
        <v>52784.091511843944</v>
      </c>
      <c r="G92" s="112">
        <v>7</v>
      </c>
      <c r="H92" s="113"/>
      <c r="I92" s="113"/>
      <c r="J92" s="117"/>
      <c r="K92" s="99"/>
      <c r="L92" s="120">
        <f>F90</f>
        <v>93087.176912961542</v>
      </c>
      <c r="M92" s="120">
        <v>0</v>
      </c>
      <c r="N92" s="120">
        <v>0</v>
      </c>
      <c r="O92" s="120">
        <f>-F90</f>
        <v>-93087.176912961542</v>
      </c>
      <c r="P92" s="120">
        <v>0</v>
      </c>
      <c r="Q92" s="119">
        <v>0</v>
      </c>
      <c r="R92" s="99"/>
      <c r="S92" s="120">
        <f>B89</f>
        <v>0.94868329805051377</v>
      </c>
      <c r="T92" s="120">
        <f>B90</f>
        <v>-0.31622776601683789</v>
      </c>
      <c r="U92" s="120">
        <v>0</v>
      </c>
      <c r="V92" s="120">
        <v>0</v>
      </c>
      <c r="W92" s="120">
        <v>0</v>
      </c>
      <c r="X92" s="119">
        <v>0</v>
      </c>
      <c r="Y92" s="99"/>
      <c r="Z92" s="120">
        <f>L92*S92+M92*S93+N92*S94+O92*S95+P92*S96+Q92*S97</f>
        <v>88310.25</v>
      </c>
      <c r="AA92" s="120">
        <f>L92*T92+M92*T93+N92*T94+O92*T95+P92*T96+Q92*T97</f>
        <v>-29436.749999999996</v>
      </c>
      <c r="AB92" s="120">
        <f>L92*U92+M92*U93+N92*U94+O92*U95+P92*U96+Q92*U97</f>
        <v>0</v>
      </c>
      <c r="AC92" s="120">
        <f>L92*V92+M92*V93+N92*V94+O92*V95+P92*V96+Q92*V97</f>
        <v>-88310.25</v>
      </c>
      <c r="AD92" s="120">
        <f>L92*W92+M92*W93+N92*W94+O92*W95+P92*W96+Q92*W97</f>
        <v>29436.749999999996</v>
      </c>
      <c r="AE92" s="119">
        <f>L92*X92+M92*X93+N92*X94+O92*X95+P92*X96+Q92*X97</f>
        <v>0</v>
      </c>
      <c r="AF92" s="99"/>
      <c r="AG92" s="166">
        <f t="shared" ref="AG92:AG97" si="29">K6</f>
        <v>22.902071457522705</v>
      </c>
      <c r="AH92" s="121"/>
      <c r="AI92" s="121">
        <f>Z92*AG92+AA92*AG93+AB92*AG94+AC92*AG95+AD92*AG96+AE92*AG97</f>
        <v>21901.840900468196</v>
      </c>
      <c r="AJ92" s="173"/>
      <c r="AX92">
        <f t="shared" ref="AX92:AX97" si="30">G92</f>
        <v>7</v>
      </c>
      <c r="AY92">
        <f>AX92*1000+AY91</f>
        <v>7007</v>
      </c>
      <c r="AZ92">
        <f>AX92*1000+AZ91</f>
        <v>7008</v>
      </c>
      <c r="BA92">
        <f>AX92*1000+BA91</f>
        <v>7009</v>
      </c>
      <c r="BB92">
        <f>AX92*1000+BB91</f>
        <v>7010</v>
      </c>
      <c r="BC92">
        <f>AX92*1000+BC91</f>
        <v>7011</v>
      </c>
      <c r="BD92">
        <f>AX92*1000+BD91</f>
        <v>7012</v>
      </c>
    </row>
    <row r="93" spans="1:56" x14ac:dyDescent="0.25">
      <c r="A93" s="179">
        <f>(F90-J90)*B89*B90</f>
        <v>-27767.800799352925</v>
      </c>
      <c r="B93" s="122">
        <f>(F90*B90^2+J90*B89^2)</f>
        <v>9783.7745149027469</v>
      </c>
      <c r="C93" s="112">
        <f>J89*B89</f>
        <v>158352.27453553185</v>
      </c>
      <c r="D93" s="112">
        <f>-(F90-J90)*B89*B90</f>
        <v>27767.800799352925</v>
      </c>
      <c r="E93" s="112">
        <f>-(F90*B90^2+J90*B89^2)</f>
        <v>-9783.7745149027469</v>
      </c>
      <c r="F93" s="112">
        <f>J89*B89</f>
        <v>158352.27453553185</v>
      </c>
      <c r="G93" s="112">
        <v>8</v>
      </c>
      <c r="H93" s="113"/>
      <c r="I93" s="113"/>
      <c r="J93" s="117"/>
      <c r="K93" s="99"/>
      <c r="L93" s="120">
        <v>0</v>
      </c>
      <c r="M93" s="120">
        <f>J90</f>
        <v>527.84091511843951</v>
      </c>
      <c r="N93" s="120">
        <f>J89</f>
        <v>166917.95340018751</v>
      </c>
      <c r="O93" s="120">
        <v>0</v>
      </c>
      <c r="P93" s="120">
        <f>-J90</f>
        <v>-527.84091511843951</v>
      </c>
      <c r="Q93" s="119">
        <f>J89</f>
        <v>166917.95340018751</v>
      </c>
      <c r="R93" s="99"/>
      <c r="S93" s="120">
        <f>-B90</f>
        <v>0.31622776601683789</v>
      </c>
      <c r="T93" s="120">
        <f>B89</f>
        <v>0.94868329805051377</v>
      </c>
      <c r="U93" s="120">
        <v>0</v>
      </c>
      <c r="V93" s="120">
        <v>0</v>
      </c>
      <c r="W93" s="120">
        <v>0</v>
      </c>
      <c r="X93" s="119">
        <v>0</v>
      </c>
      <c r="Y93" s="99"/>
      <c r="Z93" s="120">
        <f>L93*S92+M93*S93+N93*S94+O93*S95+P93*S96+Q93*S97</f>
        <v>166.91795340018749</v>
      </c>
      <c r="AA93" s="120">
        <f>L93*T92+M93*T93+N93*T94+O93*T95+P93*T96+Q93*T97</f>
        <v>500.75386020056249</v>
      </c>
      <c r="AB93" s="120">
        <f>L93*U92+M93*U93+N93*U94+O93*U95+P93*U96+Q93*U97</f>
        <v>166917.95340018751</v>
      </c>
      <c r="AC93" s="120">
        <f>L93*V92+M93*V93+N93*V94+O93*V95+P93*V96+Q93*V97</f>
        <v>-166.91795340018749</v>
      </c>
      <c r="AD93" s="120">
        <f>L93*W92+M93*W93+N93*W94+O93*W95+P93*W96+Q93*W97</f>
        <v>-500.75386020056249</v>
      </c>
      <c r="AE93" s="119">
        <f>L93*X92+M93*X93+N93*X94+O93*X95+P93*X96+Q93*X97</f>
        <v>166917.95340018751</v>
      </c>
      <c r="AF93" s="99"/>
      <c r="AG93" s="121">
        <f t="shared" si="29"/>
        <v>0.1525389440545552</v>
      </c>
      <c r="AH93" s="121"/>
      <c r="AI93" s="121">
        <f>Z93*AG92+AA93*AG93+AB93*AG94+AC93*AG95+AD93*AG96+AE93*AG97</f>
        <v>-14714.775762390471</v>
      </c>
      <c r="AJ93" s="173"/>
      <c r="AX93">
        <f t="shared" si="30"/>
        <v>8</v>
      </c>
      <c r="AY93">
        <f>AX93*1000+AY91</f>
        <v>8007</v>
      </c>
      <c r="AZ93">
        <f>AX93*1000+AZ91</f>
        <v>8008</v>
      </c>
      <c r="BA93">
        <f>AX93*1000+BA91</f>
        <v>8009</v>
      </c>
      <c r="BB93">
        <f>AX93*1000+BB91</f>
        <v>8010</v>
      </c>
      <c r="BC93">
        <f>AX93*1000+BC91</f>
        <v>8011</v>
      </c>
      <c r="BD93">
        <f>AX93*1000+BD91</f>
        <v>8012</v>
      </c>
    </row>
    <row r="94" spans="1:56" x14ac:dyDescent="0.25">
      <c r="A94" s="179">
        <f>-J89*B90</f>
        <v>52784.091511843944</v>
      </c>
      <c r="B94" s="112">
        <f>J89*B89</f>
        <v>158352.27453553185</v>
      </c>
      <c r="C94" s="122">
        <f>H89</f>
        <v>70378788.682458609</v>
      </c>
      <c r="D94" s="112">
        <f>J89*B90</f>
        <v>-52784.091511843944</v>
      </c>
      <c r="E94" s="112">
        <f>-J89*B89</f>
        <v>-158352.27453553185</v>
      </c>
      <c r="F94" s="112">
        <f>H90</f>
        <v>35189394.341229305</v>
      </c>
      <c r="G94" s="112">
        <v>9</v>
      </c>
      <c r="H94" s="113"/>
      <c r="I94" s="113"/>
      <c r="J94" s="117"/>
      <c r="K94" s="99"/>
      <c r="L94" s="120">
        <v>0</v>
      </c>
      <c r="M94" s="120">
        <f>J89</f>
        <v>166917.95340018751</v>
      </c>
      <c r="N94" s="120">
        <f>H89</f>
        <v>70378788.682458609</v>
      </c>
      <c r="O94" s="120">
        <v>0</v>
      </c>
      <c r="P94" s="120">
        <f>-J89</f>
        <v>-166917.95340018751</v>
      </c>
      <c r="Q94" s="119">
        <f>H90</f>
        <v>35189394.341229305</v>
      </c>
      <c r="R94" s="99"/>
      <c r="S94" s="120">
        <v>0</v>
      </c>
      <c r="T94" s="120">
        <v>0</v>
      </c>
      <c r="U94" s="120">
        <v>1</v>
      </c>
      <c r="V94" s="120">
        <v>0</v>
      </c>
      <c r="W94" s="120">
        <v>0</v>
      </c>
      <c r="X94" s="119">
        <v>0</v>
      </c>
      <c r="Y94" s="99"/>
      <c r="Z94" s="120">
        <f>L94*S92+M94*S93+N94*S94+O94*S95+P94*S96+Q94*S97</f>
        <v>52784.091511843944</v>
      </c>
      <c r="AA94" s="120">
        <f>L94*T92+M94*T93+N94*T94+O94*T95+P94*T96+Q94*T97</f>
        <v>158352.27453553185</v>
      </c>
      <c r="AB94" s="120">
        <f>L94*U92+M94*U93+N94*U94+O94*U95+P94*U96+Q94*U97</f>
        <v>70378788.682458609</v>
      </c>
      <c r="AC94" s="120">
        <f>L94*V92+M94*V93+N94*V94+O94*V95+P94*V96+Q94*V97</f>
        <v>-52784.091511843944</v>
      </c>
      <c r="AD94" s="120">
        <f>L94*W92+M94*W93+N94*W94+O94*W95+P94*W96+Q94*W97</f>
        <v>-158352.27453553185</v>
      </c>
      <c r="AE94" s="119">
        <f>L94*X92+M94*X93+N94*X94+O94*X95+P94*X96+Q94*X97</f>
        <v>35189394.341229305</v>
      </c>
      <c r="AF94" s="99"/>
      <c r="AG94" s="121">
        <f t="shared" si="29"/>
        <v>-3.9374502540716359E-2</v>
      </c>
      <c r="AH94" s="121"/>
      <c r="AI94" s="121">
        <f>Z94*AG92+AA94*AG93+AB94*AG94+AC94*AG95+AD94*AG96+AE94*AG97</f>
        <v>-4469034.3359425282</v>
      </c>
      <c r="AJ94" s="173"/>
      <c r="AX94">
        <f t="shared" si="30"/>
        <v>9</v>
      </c>
      <c r="AY94">
        <f>AX94*1000+AY91</f>
        <v>9007</v>
      </c>
      <c r="AZ94">
        <f>AX94*1000+AZ91</f>
        <v>9008</v>
      </c>
      <c r="BA94">
        <f>AX94*1000+BA91</f>
        <v>9009</v>
      </c>
      <c r="BB94">
        <f>AX94*1000+BB91</f>
        <v>9010</v>
      </c>
      <c r="BC94">
        <f>AX94*1000+BC91</f>
        <v>9011</v>
      </c>
      <c r="BD94">
        <f>AX94*1000+BD91</f>
        <v>9012</v>
      </c>
    </row>
    <row r="95" spans="1:56" ht="15.75" x14ac:dyDescent="0.25">
      <c r="A95" s="179">
        <f>-(F90*B89^2+J90*B90^2)</f>
        <v>-83831.243313177227</v>
      </c>
      <c r="B95" s="112">
        <f>-(F90-J90)*B89*B90</f>
        <v>27767.800799352925</v>
      </c>
      <c r="C95" s="112">
        <f>J89*B90</f>
        <v>-52784.091511843944</v>
      </c>
      <c r="D95" s="122">
        <f>(F90*B89^2+J90*B90^2)</f>
        <v>83831.243313177227</v>
      </c>
      <c r="E95" s="112">
        <f>(F90-J90)*B89*B90</f>
        <v>-27767.800799352925</v>
      </c>
      <c r="F95" s="112">
        <f>J89*B90</f>
        <v>-52784.091511843944</v>
      </c>
      <c r="G95" s="112">
        <v>10</v>
      </c>
      <c r="H95" s="113"/>
      <c r="I95" s="113"/>
      <c r="J95" s="117"/>
      <c r="K95" s="99"/>
      <c r="L95" s="120">
        <f>-F90</f>
        <v>-93087.176912961542</v>
      </c>
      <c r="M95" s="120">
        <v>0</v>
      </c>
      <c r="N95" s="120">
        <v>0</v>
      </c>
      <c r="O95" s="120">
        <f>F90</f>
        <v>93087.176912961542</v>
      </c>
      <c r="P95" s="120">
        <v>0</v>
      </c>
      <c r="Q95" s="119">
        <v>0</v>
      </c>
      <c r="R95" s="123" t="s">
        <v>126</v>
      </c>
      <c r="S95" s="120">
        <v>0</v>
      </c>
      <c r="T95" s="120">
        <v>0</v>
      </c>
      <c r="U95" s="120">
        <v>0</v>
      </c>
      <c r="V95" s="120">
        <f>B89</f>
        <v>0.94868329805051377</v>
      </c>
      <c r="W95" s="120">
        <f>B90</f>
        <v>-0.31622776601683789</v>
      </c>
      <c r="X95" s="119">
        <v>0</v>
      </c>
      <c r="Y95" s="124" t="s">
        <v>58</v>
      </c>
      <c r="Z95" s="120">
        <f>L95*S92+M95*S93+N95*S94+O95*S95+P95*S96+Q95*S97</f>
        <v>-88310.25</v>
      </c>
      <c r="AA95" s="120">
        <f>L95*T92+M95*T93+N95*T94+O95*T95+P95*T96+Q95*T97</f>
        <v>29436.749999999996</v>
      </c>
      <c r="AB95" s="120">
        <f>L95*U92+M95*U93+N95*U94+O95*U95+P95*U96+Q95*U97</f>
        <v>0</v>
      </c>
      <c r="AC95" s="120">
        <f>L95*V92+M95*V93+N95*V94+O95*V95+P95*V96+Q95*V97</f>
        <v>88310.25</v>
      </c>
      <c r="AD95" s="120">
        <f>L95*W92+M95*W93+N95*W94+O95*W95+P95*W96+Q95*W97</f>
        <v>-29436.749999999996</v>
      </c>
      <c r="AE95" s="119">
        <f>L95*X92+M95*X93+N95*X94+O95*X95+P95*X96+Q95*X97</f>
        <v>0</v>
      </c>
      <c r="AF95" s="123" t="s">
        <v>126</v>
      </c>
      <c r="AG95" s="121">
        <f t="shared" si="29"/>
        <v>22.572707175135271</v>
      </c>
      <c r="AH95" s="123" t="s">
        <v>58</v>
      </c>
      <c r="AI95" s="121">
        <f>Z95*AG92+AA95*AG93+AB95*AG94+AC95*AG95+AD95*AG96+AE95*AG97</f>
        <v>-21901.840900468196</v>
      </c>
      <c r="AJ95" s="173"/>
      <c r="AX95">
        <f t="shared" si="30"/>
        <v>10</v>
      </c>
      <c r="AY95">
        <f>AX95*1000+AY91</f>
        <v>10007</v>
      </c>
      <c r="AZ95">
        <f>AX95*1000+AZ91</f>
        <v>10008</v>
      </c>
      <c r="BA95">
        <f>AX95*1000+BA91</f>
        <v>10009</v>
      </c>
      <c r="BB95">
        <f>AX95*1000+BB91</f>
        <v>10010</v>
      </c>
      <c r="BC95">
        <f>AX95*1000+BC91</f>
        <v>10011</v>
      </c>
      <c r="BD95">
        <f>AX95*1000+BD91</f>
        <v>10012</v>
      </c>
    </row>
    <row r="96" spans="1:56" x14ac:dyDescent="0.25">
      <c r="A96" s="179">
        <f>-(F90-J90)*B89*B90</f>
        <v>27767.800799352925</v>
      </c>
      <c r="B96" s="112">
        <f>-(F90*B90^2+J90*B89^2)</f>
        <v>-9783.7745149027469</v>
      </c>
      <c r="C96" s="112">
        <f>-J89*B89</f>
        <v>-158352.27453553185</v>
      </c>
      <c r="D96" s="112">
        <f>(F90-J90)*B89*B90</f>
        <v>-27767.800799352925</v>
      </c>
      <c r="E96" s="122">
        <f>(F90*B90^2+J90*B89^2)</f>
        <v>9783.7745149027469</v>
      </c>
      <c r="F96" s="112">
        <f>-J89*B89</f>
        <v>-158352.27453553185</v>
      </c>
      <c r="G96" s="112">
        <v>11</v>
      </c>
      <c r="H96" s="113"/>
      <c r="I96" s="113"/>
      <c r="J96" s="117"/>
      <c r="K96" s="99"/>
      <c r="L96" s="120">
        <v>0</v>
      </c>
      <c r="M96" s="120">
        <f>-J90</f>
        <v>-527.84091511843951</v>
      </c>
      <c r="N96" s="120">
        <f>-J89</f>
        <v>-166917.95340018751</v>
      </c>
      <c r="O96" s="120">
        <v>0</v>
      </c>
      <c r="P96" s="120">
        <f>J90</f>
        <v>527.84091511843951</v>
      </c>
      <c r="Q96" s="119">
        <f>-J89</f>
        <v>-166917.95340018751</v>
      </c>
      <c r="R96" s="99"/>
      <c r="S96" s="120">
        <v>0</v>
      </c>
      <c r="T96" s="120">
        <v>0</v>
      </c>
      <c r="U96" s="120">
        <v>0</v>
      </c>
      <c r="V96" s="120">
        <f>-B90</f>
        <v>0.31622776601683789</v>
      </c>
      <c r="W96" s="120">
        <f>B89</f>
        <v>0.94868329805051377</v>
      </c>
      <c r="X96" s="119">
        <v>0</v>
      </c>
      <c r="Y96" s="99"/>
      <c r="Z96" s="120">
        <f>L96*S92+M96*S93+N96*S94+O96*S95+P96*S96+Q96*S97</f>
        <v>-166.91795340018749</v>
      </c>
      <c r="AA96" s="120">
        <f>L96*T92+M96*T93+N96*T94+O96*T95+P96*T96+Q96*T97</f>
        <v>-500.75386020056249</v>
      </c>
      <c r="AB96" s="120">
        <f>L96*U92+M96*U93+N96*U94+O96*U95+P96*U96+Q96*U97</f>
        <v>-166917.95340018751</v>
      </c>
      <c r="AC96" s="120">
        <f>L96*V92+M96*V93+N96*V94+O96*V95+P96*V96+Q96*V97</f>
        <v>166.91795340018749</v>
      </c>
      <c r="AD96" s="120">
        <f>L96*W92+M96*W93+N96*W94+O96*W95+P96*W96+Q96*W97</f>
        <v>500.75386020056249</v>
      </c>
      <c r="AE96" s="119">
        <f>L96*X92+M96*X93+N96*X94+O96*X95+P96*X96+Q96*X97</f>
        <v>-166917.95340018751</v>
      </c>
      <c r="AF96" s="99"/>
      <c r="AG96" s="121">
        <f t="shared" si="29"/>
        <v>-9.1523366432732969E-2</v>
      </c>
      <c r="AH96" s="121"/>
      <c r="AI96" s="121">
        <f>Z96*AG92+AA96*AG93+AB96*AG94+AC96*AG95+AD96*AG96+AE96*AG97</f>
        <v>14714.775762390471</v>
      </c>
      <c r="AJ96" s="173"/>
      <c r="AX96">
        <f t="shared" si="30"/>
        <v>11</v>
      </c>
      <c r="AY96">
        <f>AX96*1000+AY91</f>
        <v>11007</v>
      </c>
      <c r="AZ96">
        <f>AX96*1000+AZ91</f>
        <v>11008</v>
      </c>
      <c r="BA96">
        <f>AX96*1000+BA91</f>
        <v>11009</v>
      </c>
      <c r="BB96">
        <f>AX96*1000+BB91</f>
        <v>11010</v>
      </c>
      <c r="BC96">
        <f>AX96*1000+BC91</f>
        <v>11011</v>
      </c>
      <c r="BD96">
        <f>AX96*1000+BD91</f>
        <v>11012</v>
      </c>
    </row>
    <row r="97" spans="1:56" ht="15.75" thickBot="1" x14ac:dyDescent="0.3">
      <c r="A97" s="181">
        <f>-J89*B90</f>
        <v>52784.091511843944</v>
      </c>
      <c r="B97" s="125">
        <f>J89*B89</f>
        <v>158352.27453553185</v>
      </c>
      <c r="C97" s="125">
        <f>H90</f>
        <v>35189394.341229305</v>
      </c>
      <c r="D97" s="125">
        <f>J89*B90</f>
        <v>-52784.091511843944</v>
      </c>
      <c r="E97" s="125">
        <f>-J89*B89</f>
        <v>-158352.27453553185</v>
      </c>
      <c r="F97" s="126">
        <f>H89</f>
        <v>70378788.682458609</v>
      </c>
      <c r="G97" s="125">
        <v>12</v>
      </c>
      <c r="H97" s="127"/>
      <c r="I97" s="127"/>
      <c r="J97" s="128"/>
      <c r="K97" s="99"/>
      <c r="L97" s="120">
        <v>0</v>
      </c>
      <c r="M97" s="120">
        <f>J89</f>
        <v>166917.95340018751</v>
      </c>
      <c r="N97" s="120">
        <f>H90</f>
        <v>35189394.341229305</v>
      </c>
      <c r="O97" s="120">
        <v>0</v>
      </c>
      <c r="P97" s="120">
        <f>-J89</f>
        <v>-166917.95340018751</v>
      </c>
      <c r="Q97" s="119">
        <f>H89</f>
        <v>70378788.682458609</v>
      </c>
      <c r="R97" s="99"/>
      <c r="S97" s="120">
        <v>0</v>
      </c>
      <c r="T97" s="120">
        <v>0</v>
      </c>
      <c r="U97" s="120">
        <v>0</v>
      </c>
      <c r="V97" s="120">
        <v>0</v>
      </c>
      <c r="W97" s="120">
        <v>0</v>
      </c>
      <c r="X97" s="119">
        <v>1</v>
      </c>
      <c r="Y97" s="99"/>
      <c r="Z97" s="120">
        <f>L97*S92+M97*S93+N97*S94+O97*S95+P97*S96+Q97*S97</f>
        <v>52784.091511843944</v>
      </c>
      <c r="AA97" s="120">
        <f>L97*T92+M97*T93+N97*T94+O97*T95+P97*T96+Q97*T97</f>
        <v>158352.27453553185</v>
      </c>
      <c r="AB97" s="120">
        <f>L97*U92+M97*U93+N97*U94+O97*U95+P97*U96+Q97*U97</f>
        <v>35189394.341229305</v>
      </c>
      <c r="AC97" s="120">
        <f>L97*V92+M97*V93+N97*V94+O97*V95+P97*V96+Q97*V97</f>
        <v>-52784.091511843944</v>
      </c>
      <c r="AD97" s="120">
        <f>L97*W92+M97*W93+N97*W94+O97*W95+P97*W96+Q97*W97</f>
        <v>-158352.27453553185</v>
      </c>
      <c r="AE97" s="119">
        <f>L97*X92+M97*X93+N97*X94+O97*X95+P97*X96+Q97*X97</f>
        <v>70378788.682458609</v>
      </c>
      <c r="AF97" s="99"/>
      <c r="AG97" s="121">
        <f t="shared" si="29"/>
        <v>-4.9842789039249484E-2</v>
      </c>
      <c r="AH97" s="121"/>
      <c r="AI97" s="121">
        <f>Z97*AG92+AA97*AG93+AB97*AG94+AC97*AG95+AD97*AG96+AE97*AG97</f>
        <v>-4837406.9976163767</v>
      </c>
      <c r="AJ97" s="173"/>
      <c r="AX97">
        <f t="shared" si="30"/>
        <v>12</v>
      </c>
      <c r="AY97">
        <f>AX97*1000+AY91</f>
        <v>12007</v>
      </c>
      <c r="AZ97">
        <f>AX97*1000+AZ91</f>
        <v>12008</v>
      </c>
      <c r="BA97">
        <f>AX97*1000+BA91</f>
        <v>12009</v>
      </c>
      <c r="BB97">
        <f>AX97*1000+BB91</f>
        <v>12010</v>
      </c>
      <c r="BC97">
        <f>AX97*1000+BC91</f>
        <v>12011</v>
      </c>
      <c r="BD97">
        <f>AX97*1000+BD91</f>
        <v>12012</v>
      </c>
    </row>
    <row r="98" spans="1:56" x14ac:dyDescent="0.25">
      <c r="A98" s="177" t="s">
        <v>118</v>
      </c>
      <c r="B98" s="108">
        <f>(D78-B78)/F78</f>
        <v>0</v>
      </c>
      <c r="C98" s="109" t="s">
        <v>119</v>
      </c>
      <c r="D98" s="108">
        <f>$B$7+0.5*$B$11</f>
        <v>23.1</v>
      </c>
      <c r="E98" s="109" t="s">
        <v>30</v>
      </c>
      <c r="F98" s="110">
        <f>2*((($B$6*($B$7)^3)/12)+($B$6*$B$7)*($B$11+2*$B$7-0.5*$B$7-D98)^2)+($B$8*($B$11)^3)/12</f>
        <v>9069.1586666666681</v>
      </c>
      <c r="G98" s="109" t="s">
        <v>120</v>
      </c>
      <c r="H98" s="150">
        <f>4*$B$14*F98/F78</f>
        <v>253936442.66666672</v>
      </c>
      <c r="I98" s="109" t="s">
        <v>121</v>
      </c>
      <c r="J98" s="111">
        <f>6*$B$14*F98/(F78^2)</f>
        <v>1269682.2133333336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173"/>
    </row>
    <row r="99" spans="1:56" x14ac:dyDescent="0.25">
      <c r="A99" s="178" t="s">
        <v>122</v>
      </c>
      <c r="B99" s="112">
        <f>(E78-C78)/F78</f>
        <v>-1</v>
      </c>
      <c r="C99" s="113" t="s">
        <v>13</v>
      </c>
      <c r="D99" s="114">
        <f>(2*$B$6*$B$7)+($B$11*$B$8)</f>
        <v>32.6</v>
      </c>
      <c r="E99" s="113" t="s">
        <v>123</v>
      </c>
      <c r="F99" s="151">
        <f>$B$14*D99/F78</f>
        <v>228200</v>
      </c>
      <c r="G99" s="113" t="s">
        <v>124</v>
      </c>
      <c r="H99" s="151">
        <f>2*$B$14*F98/F78</f>
        <v>126968221.33333336</v>
      </c>
      <c r="I99" s="113" t="s">
        <v>125</v>
      </c>
      <c r="J99" s="115">
        <f>12*$B$14*F98/(F78^3)</f>
        <v>8464.5480888888906</v>
      </c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173"/>
    </row>
    <row r="100" spans="1:56" x14ac:dyDescent="0.25">
      <c r="A100" s="179">
        <f>G101</f>
        <v>10</v>
      </c>
      <c r="B100" s="112">
        <f>G102</f>
        <v>11</v>
      </c>
      <c r="C100" s="112">
        <f>G103</f>
        <v>12</v>
      </c>
      <c r="D100" s="112">
        <f>G104</f>
        <v>4</v>
      </c>
      <c r="E100" s="112">
        <f>G105</f>
        <v>5</v>
      </c>
      <c r="F100" s="112">
        <f>G106</f>
        <v>6</v>
      </c>
      <c r="G100" s="113"/>
      <c r="H100" s="113"/>
      <c r="I100" s="113"/>
      <c r="J100" s="116">
        <v>3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173"/>
      <c r="AY100">
        <f>AX101</f>
        <v>10</v>
      </c>
      <c r="AZ100">
        <f>AX102</f>
        <v>11</v>
      </c>
      <c r="BA100">
        <f>AX103</f>
        <v>12</v>
      </c>
      <c r="BB100">
        <f>AX104</f>
        <v>4</v>
      </c>
      <c r="BC100">
        <f>AX105</f>
        <v>5</v>
      </c>
      <c r="BD100">
        <f>AX106</f>
        <v>6</v>
      </c>
    </row>
    <row r="101" spans="1:56" x14ac:dyDescent="0.25">
      <c r="A101" s="180">
        <f>(F99*B98^2+J99*B99^2)</f>
        <v>8464.5480888888906</v>
      </c>
      <c r="B101" s="112">
        <f>(F99-J99)*B98*B99</f>
        <v>0</v>
      </c>
      <c r="C101" s="112">
        <f>-J98*B99</f>
        <v>1269682.2133333336</v>
      </c>
      <c r="D101" s="112">
        <f>-(F99*B98^2+J99*B99^2)</f>
        <v>-8464.5480888888906</v>
      </c>
      <c r="E101" s="112">
        <f>-(F99-J99)*B98*B99</f>
        <v>0</v>
      </c>
      <c r="F101" s="112">
        <f>-J98*B99</f>
        <v>1269682.2133333336</v>
      </c>
      <c r="G101" s="112">
        <v>10</v>
      </c>
      <c r="H101" s="113"/>
      <c r="I101" s="113"/>
      <c r="J101" s="117"/>
      <c r="K101" s="99"/>
      <c r="L101" s="120">
        <f>F99</f>
        <v>228200</v>
      </c>
      <c r="M101" s="120">
        <v>0</v>
      </c>
      <c r="N101" s="120">
        <v>0</v>
      </c>
      <c r="O101" s="120">
        <f>-F99</f>
        <v>-228200</v>
      </c>
      <c r="P101" s="120">
        <v>0</v>
      </c>
      <c r="Q101" s="119">
        <v>0</v>
      </c>
      <c r="R101" s="99"/>
      <c r="S101" s="120">
        <f>B98</f>
        <v>0</v>
      </c>
      <c r="T101" s="120">
        <f>B99</f>
        <v>-1</v>
      </c>
      <c r="U101" s="120">
        <v>0</v>
      </c>
      <c r="V101" s="120">
        <v>0</v>
      </c>
      <c r="W101" s="120">
        <v>0</v>
      </c>
      <c r="X101" s="119">
        <v>0</v>
      </c>
      <c r="Y101" s="99"/>
      <c r="Z101" s="120">
        <f>L101*S101+M101*S102+N101*S103+O101*S104+P101*S105+Q101*S106</f>
        <v>0</v>
      </c>
      <c r="AA101" s="120">
        <f>L101*T101+M101*T102+N101*T103+O101*T104+P101*T105+Q101*T106</f>
        <v>-228200</v>
      </c>
      <c r="AB101" s="120">
        <f>L101*U101+M101*U102+N101*U103+O101*U104+P101*U105+Q101*U106</f>
        <v>0</v>
      </c>
      <c r="AC101" s="120">
        <f>L101*V101+M101*V102+N101*V103+O101*V104+P101*V105+Q101*V106</f>
        <v>0</v>
      </c>
      <c r="AD101" s="120">
        <f>L101*W101+M101*W102+N101*W103+O101*W104+P101*W105+Q101*W106</f>
        <v>228200</v>
      </c>
      <c r="AE101" s="119">
        <f>L101*X101+M101*X102+N101*X103+O101*X104+P101*X105+Q101*X106</f>
        <v>0</v>
      </c>
      <c r="AF101" s="99"/>
      <c r="AG101" s="121">
        <f>K9</f>
        <v>22.572707175135271</v>
      </c>
      <c r="AH101" s="121"/>
      <c r="AI101" s="121">
        <f>Z101*AG101+AA101*AG102+AB101*AG103+AC101*AG104+AD101*AG105+AE101*AG106</f>
        <v>20885.632219949664</v>
      </c>
      <c r="AJ101" s="173"/>
      <c r="AX101">
        <f t="shared" ref="AX101:AX106" si="31">G101</f>
        <v>10</v>
      </c>
      <c r="AY101">
        <f>AX101*1000+AY100</f>
        <v>10010</v>
      </c>
      <c r="AZ101">
        <f>AX101*1000+AZ100</f>
        <v>10011</v>
      </c>
      <c r="BA101">
        <f>AX101*1000+BA100</f>
        <v>10012</v>
      </c>
      <c r="BB101">
        <f>AX101*1000+BB100</f>
        <v>10004</v>
      </c>
      <c r="BC101">
        <f>AX101*1000+BC100</f>
        <v>10005</v>
      </c>
      <c r="BD101">
        <f>AX101*1000+BD100</f>
        <v>10006</v>
      </c>
    </row>
    <row r="102" spans="1:56" x14ac:dyDescent="0.25">
      <c r="A102" s="179">
        <f>(F99-J99)*B98*B99</f>
        <v>0</v>
      </c>
      <c r="B102" s="122">
        <f>(F99*B99^2+J99*B98^2)</f>
        <v>228200</v>
      </c>
      <c r="C102" s="112">
        <f>J98*B98</f>
        <v>0</v>
      </c>
      <c r="D102" s="112">
        <f>-(F99-J99)*B98*B99</f>
        <v>0</v>
      </c>
      <c r="E102" s="112">
        <f>-(F99*B99^2+J99*B98^2)</f>
        <v>-228200</v>
      </c>
      <c r="F102" s="112">
        <f>J98*B98</f>
        <v>0</v>
      </c>
      <c r="G102" s="112">
        <v>11</v>
      </c>
      <c r="H102" s="113"/>
      <c r="I102" s="113"/>
      <c r="J102" s="117"/>
      <c r="K102" s="99"/>
      <c r="L102" s="120">
        <v>0</v>
      </c>
      <c r="M102" s="120">
        <f>J99</f>
        <v>8464.5480888888906</v>
      </c>
      <c r="N102" s="120">
        <f>J98</f>
        <v>1269682.2133333336</v>
      </c>
      <c r="O102" s="120">
        <v>0</v>
      </c>
      <c r="P102" s="120">
        <f>-J99</f>
        <v>-8464.5480888888906</v>
      </c>
      <c r="Q102" s="119">
        <f>J98</f>
        <v>1269682.2133333336</v>
      </c>
      <c r="R102" s="99"/>
      <c r="S102" s="120">
        <f>-B99</f>
        <v>1</v>
      </c>
      <c r="T102" s="120">
        <f>B98</f>
        <v>0</v>
      </c>
      <c r="U102" s="120">
        <v>0</v>
      </c>
      <c r="V102" s="120">
        <v>0</v>
      </c>
      <c r="W102" s="120">
        <v>0</v>
      </c>
      <c r="X102" s="119">
        <v>0</v>
      </c>
      <c r="Y102" s="99"/>
      <c r="Z102" s="120">
        <f>L102*S101+M102*S102+N102*S103+O102*S104+P102*S105+Q102*S106</f>
        <v>8464.5480888888906</v>
      </c>
      <c r="AA102" s="120">
        <f>L102*T101+M102*T102+N102*T103+O102*T104+P102*T105+Q102*T106</f>
        <v>0</v>
      </c>
      <c r="AB102" s="120">
        <f>L102*U101+M102*U102+N102*U103+O102*U104+P102*U105+Q102*U106</f>
        <v>1269682.2133333336</v>
      </c>
      <c r="AC102" s="120">
        <f>L102*V101+M102*V102+N102*V103+O102*V104+P102*V105+Q102*V106</f>
        <v>-8464.5480888888906</v>
      </c>
      <c r="AD102" s="120">
        <f>L102*W101+M102*W102+N102*W103+O102*W104+P102*W105+Q102*W106</f>
        <v>0</v>
      </c>
      <c r="AE102" s="119">
        <f>L102*X101+M102*X102+N102*X103+O102*X104+P102*X105+Q102*X106</f>
        <v>1269682.2133333336</v>
      </c>
      <c r="AF102" s="99"/>
      <c r="AG102" s="121">
        <f>K10</f>
        <v>-9.1523366432732969E-2</v>
      </c>
      <c r="AH102" s="121"/>
      <c r="AI102" s="121">
        <f>Z102*AG101+AA102*AG102+AB102*AG103+AC102*AG104+AD102*AG105+AE102*AG106</f>
        <v>16124.689992054584</v>
      </c>
      <c r="AJ102" s="173"/>
      <c r="AX102">
        <f t="shared" si="31"/>
        <v>11</v>
      </c>
      <c r="AY102">
        <f>AX102*1000+AY100</f>
        <v>11010</v>
      </c>
      <c r="AZ102">
        <f>AX102*1000+AZ100</f>
        <v>11011</v>
      </c>
      <c r="BA102">
        <f>AX102*1000+BA100</f>
        <v>11012</v>
      </c>
      <c r="BB102">
        <f>AX102*1000+BB100</f>
        <v>11004</v>
      </c>
      <c r="BC102">
        <f>AX102*1000+BC100</f>
        <v>11005</v>
      </c>
      <c r="BD102">
        <f>AX102*1000+BD100</f>
        <v>11006</v>
      </c>
    </row>
    <row r="103" spans="1:56" x14ac:dyDescent="0.25">
      <c r="A103" s="179">
        <f>-J98*B99</f>
        <v>1269682.2133333336</v>
      </c>
      <c r="B103" s="112">
        <f>J98*B98</f>
        <v>0</v>
      </c>
      <c r="C103" s="122">
        <f>H98</f>
        <v>253936442.66666672</v>
      </c>
      <c r="D103" s="112">
        <f>J98*B99</f>
        <v>-1269682.2133333336</v>
      </c>
      <c r="E103" s="112">
        <f>-J98*B98</f>
        <v>0</v>
      </c>
      <c r="F103" s="112">
        <f>H99</f>
        <v>126968221.33333336</v>
      </c>
      <c r="G103" s="112">
        <v>12</v>
      </c>
      <c r="H103" s="113"/>
      <c r="I103" s="113"/>
      <c r="J103" s="117"/>
      <c r="K103" s="99"/>
      <c r="L103" s="120">
        <v>0</v>
      </c>
      <c r="M103" s="120">
        <f>J98</f>
        <v>1269682.2133333336</v>
      </c>
      <c r="N103" s="120">
        <f>H98</f>
        <v>253936442.66666672</v>
      </c>
      <c r="O103" s="120">
        <v>0</v>
      </c>
      <c r="P103" s="120">
        <f>-J98</f>
        <v>-1269682.2133333336</v>
      </c>
      <c r="Q103" s="119">
        <f>H99</f>
        <v>126968221.33333336</v>
      </c>
      <c r="R103" s="99"/>
      <c r="S103" s="120">
        <v>0</v>
      </c>
      <c r="T103" s="120">
        <v>0</v>
      </c>
      <c r="U103" s="120">
        <v>1</v>
      </c>
      <c r="V103" s="120">
        <v>0</v>
      </c>
      <c r="W103" s="120">
        <v>0</v>
      </c>
      <c r="X103" s="119">
        <v>0</v>
      </c>
      <c r="Y103" s="99"/>
      <c r="Z103" s="120">
        <f>L103*S101+M103*S102+N103*S103+O103*S104+P103*S105+Q103*S106</f>
        <v>1269682.2133333336</v>
      </c>
      <c r="AA103" s="120">
        <f>L103*T101+M103*T102+N103*T103+O103*T104+P103*T105+Q103*T106</f>
        <v>0</v>
      </c>
      <c r="AB103" s="120">
        <f>L103*U101+M103*U102+N103*U103+O103*U104+P103*U105+Q103*U106</f>
        <v>253936442.66666672</v>
      </c>
      <c r="AC103" s="120">
        <f>L103*V101+M103*V102+N103*V103+O103*V104+P103*V105+Q103*V106</f>
        <v>-1269682.2133333336</v>
      </c>
      <c r="AD103" s="120">
        <f>L103*W101+M103*W102+N103*W103+O103*W104+P103*W105+Q103*W106</f>
        <v>0</v>
      </c>
      <c r="AE103" s="119">
        <f>L103*X101+M103*X102+N103*X103+O103*X104+P103*X105+Q103*X106</f>
        <v>126968221.33333336</v>
      </c>
      <c r="AF103" s="99"/>
      <c r="AG103" s="121">
        <f>K11</f>
        <v>-4.9842789039249484E-2</v>
      </c>
      <c r="AH103" s="121"/>
      <c r="AI103" s="121">
        <f>Z103*AG101+AA103*AG102+AB103*AG103+AC103*AG104+AD103*AG105+AE103*AG106</f>
        <v>4837406.9976163805</v>
      </c>
      <c r="AJ103" s="173"/>
      <c r="AX103">
        <f t="shared" si="31"/>
        <v>12</v>
      </c>
      <c r="AY103">
        <f>AX103*1000+AY100</f>
        <v>12010</v>
      </c>
      <c r="AZ103">
        <f>AX103*1000+AZ100</f>
        <v>12011</v>
      </c>
      <c r="BA103">
        <f>AX103*1000+BA100</f>
        <v>12012</v>
      </c>
      <c r="BB103">
        <f>AX103*1000+BB100</f>
        <v>12004</v>
      </c>
      <c r="BC103">
        <f>AX103*1000+BC100</f>
        <v>12005</v>
      </c>
      <c r="BD103">
        <f>AX103*1000+BD100</f>
        <v>12006</v>
      </c>
    </row>
    <row r="104" spans="1:56" ht="15.75" x14ac:dyDescent="0.25">
      <c r="A104" s="179">
        <f>-(F99*B98^2+J99*B99^2)</f>
        <v>-8464.5480888888906</v>
      </c>
      <c r="B104" s="112">
        <f>-(F99-J99)*B98*B99</f>
        <v>0</v>
      </c>
      <c r="C104" s="112">
        <f>J98*B99</f>
        <v>-1269682.2133333336</v>
      </c>
      <c r="D104" s="122">
        <f>(F99*B98^2+J99*B99^2)</f>
        <v>8464.5480888888906</v>
      </c>
      <c r="E104" s="112">
        <f>(F99-J99)*B98*B99</f>
        <v>0</v>
      </c>
      <c r="F104" s="112">
        <f>J98*B99</f>
        <v>-1269682.2133333336</v>
      </c>
      <c r="G104" s="112">
        <v>4</v>
      </c>
      <c r="H104" s="113"/>
      <c r="I104" s="113"/>
      <c r="J104" s="117"/>
      <c r="K104" s="99"/>
      <c r="L104" s="120">
        <f>-F99</f>
        <v>-228200</v>
      </c>
      <c r="M104" s="120">
        <v>0</v>
      </c>
      <c r="N104" s="120">
        <v>0</v>
      </c>
      <c r="O104" s="120">
        <f>F99</f>
        <v>228200</v>
      </c>
      <c r="P104" s="120">
        <v>0</v>
      </c>
      <c r="Q104" s="119">
        <v>0</v>
      </c>
      <c r="R104" s="123" t="s">
        <v>126</v>
      </c>
      <c r="S104" s="120">
        <v>0</v>
      </c>
      <c r="T104" s="120">
        <v>0</v>
      </c>
      <c r="U104" s="120">
        <v>0</v>
      </c>
      <c r="V104" s="120">
        <f>B98</f>
        <v>0</v>
      </c>
      <c r="W104" s="120">
        <f>B99</f>
        <v>-1</v>
      </c>
      <c r="X104" s="119">
        <v>0</v>
      </c>
      <c r="Y104" s="124" t="s">
        <v>58</v>
      </c>
      <c r="Z104" s="120">
        <f>L104*S101+M104*S102+N104*S103+O104*S104+P104*S105+Q104*S106</f>
        <v>0</v>
      </c>
      <c r="AA104" s="120">
        <f>L104*T101+M104*T102+N104*T103+O104*T104+P104*T105+Q104*T106</f>
        <v>228200</v>
      </c>
      <c r="AB104" s="120">
        <f>L104*U101+M104*U102+N104*U103+O104*U104+P104*U105+Q104*U106</f>
        <v>0</v>
      </c>
      <c r="AC104" s="120">
        <f>L104*V101+M104*V102+N104*V103+O104*V104+P104*V105+Q104*V106</f>
        <v>0</v>
      </c>
      <c r="AD104" s="120">
        <f>L104*W101+M104*W102+N104*W103+O104*W104+P104*W105+Q104*W106</f>
        <v>-228200</v>
      </c>
      <c r="AE104" s="119">
        <f>L104*X101+M104*X102+N104*X103+O104*X104+P104*X105+Q104*X106</f>
        <v>0</v>
      </c>
      <c r="AF104" s="123" t="s">
        <v>126</v>
      </c>
      <c r="AG104" s="166">
        <v>0</v>
      </c>
      <c r="AH104" s="123" t="s">
        <v>58</v>
      </c>
      <c r="AI104" s="121">
        <f>Z104*AG101+AA104*AG102+AB104*AG103+AC104*AG104+AD104*AG105+AE104*AG106</f>
        <v>-20885.632219949664</v>
      </c>
      <c r="AJ104" s="173"/>
      <c r="AX104">
        <f t="shared" si="31"/>
        <v>4</v>
      </c>
      <c r="AY104">
        <f>AX104*1000+AY100</f>
        <v>4010</v>
      </c>
      <c r="AZ104">
        <f>AX104*1000+AZ100</f>
        <v>4011</v>
      </c>
      <c r="BA104">
        <f>AX104*1000+BA100</f>
        <v>4012</v>
      </c>
      <c r="BB104">
        <f>AX104*1000+BB100</f>
        <v>4004</v>
      </c>
      <c r="BC104">
        <f>AX104*1000+BC100</f>
        <v>4005</v>
      </c>
      <c r="BD104">
        <f>AX104*1000+BD100</f>
        <v>4006</v>
      </c>
    </row>
    <row r="105" spans="1:56" x14ac:dyDescent="0.25">
      <c r="A105" s="179">
        <f>-(F99-J99)*B98*B99</f>
        <v>0</v>
      </c>
      <c r="B105" s="112">
        <f>-(F99*B99^2+J99*B98^2)</f>
        <v>-228200</v>
      </c>
      <c r="C105" s="112">
        <f>-J98*B98</f>
        <v>0</v>
      </c>
      <c r="D105" s="112">
        <f>(F99-J99)*B98*B99</f>
        <v>0</v>
      </c>
      <c r="E105" s="122">
        <f>(F99*B99^2+J99*B98^2)</f>
        <v>228200</v>
      </c>
      <c r="F105" s="112">
        <f>-J98*B98</f>
        <v>0</v>
      </c>
      <c r="G105" s="112">
        <v>5</v>
      </c>
      <c r="H105" s="113"/>
      <c r="I105" s="113"/>
      <c r="J105" s="117"/>
      <c r="K105" s="99"/>
      <c r="L105" s="120">
        <v>0</v>
      </c>
      <c r="M105" s="120">
        <f>-J99</f>
        <v>-8464.5480888888906</v>
      </c>
      <c r="N105" s="120">
        <f>-J98</f>
        <v>-1269682.2133333336</v>
      </c>
      <c r="O105" s="120">
        <v>0</v>
      </c>
      <c r="P105" s="120">
        <f>J99</f>
        <v>8464.5480888888906</v>
      </c>
      <c r="Q105" s="119">
        <f>-J98</f>
        <v>-1269682.2133333336</v>
      </c>
      <c r="R105" s="99"/>
      <c r="S105" s="120">
        <v>0</v>
      </c>
      <c r="T105" s="120">
        <v>0</v>
      </c>
      <c r="U105" s="120">
        <v>0</v>
      </c>
      <c r="V105" s="120">
        <f>-B99</f>
        <v>1</v>
      </c>
      <c r="W105" s="120">
        <f>B98</f>
        <v>0</v>
      </c>
      <c r="X105" s="119">
        <v>0</v>
      </c>
      <c r="Y105" s="99"/>
      <c r="Z105" s="120">
        <f>L105*S101+M105*S102+N105*S103+O105*S104+P105*S105+Q105*S106</f>
        <v>-8464.5480888888906</v>
      </c>
      <c r="AA105" s="120">
        <f>L105*T101+M105*T102+N105*T103+O105*T104+P105*T105+Q105*T106</f>
        <v>0</v>
      </c>
      <c r="AB105" s="120">
        <f>L105*U101+M105*U102+N105*U103+O105*U104+P105*U105+Q105*U106</f>
        <v>-1269682.2133333336</v>
      </c>
      <c r="AC105" s="120">
        <f>L105*V101+M105*V102+N105*V103+O105*V104+P105*V105+Q105*V106</f>
        <v>8464.5480888888906</v>
      </c>
      <c r="AD105" s="120">
        <f>L105*W101+M105*W102+N105*W103+O105*W104+P105*W105+Q105*W106</f>
        <v>0</v>
      </c>
      <c r="AE105" s="119">
        <f>L105*X101+M105*X102+N105*X103+O105*X104+P105*X105+Q105*X106</f>
        <v>-1269682.2133333336</v>
      </c>
      <c r="AF105" s="99"/>
      <c r="AG105" s="121">
        <v>0</v>
      </c>
      <c r="AH105" s="121"/>
      <c r="AI105" s="121">
        <f>Z105*AG101+AA105*AG102+AB105*AG103+AC105*AG104+AD105*AG105+AE105*AG106</f>
        <v>-16124.689992054584</v>
      </c>
      <c r="AJ105" s="173"/>
      <c r="AX105">
        <f t="shared" si="31"/>
        <v>5</v>
      </c>
      <c r="AY105">
        <f>AX105*1000+AY100</f>
        <v>5010</v>
      </c>
      <c r="AZ105">
        <f>AX105*1000+AZ100</f>
        <v>5011</v>
      </c>
      <c r="BA105">
        <f>AX105*1000+BA100</f>
        <v>5012</v>
      </c>
      <c r="BB105">
        <f>AX105*1000+BB100</f>
        <v>5004</v>
      </c>
      <c r="BC105">
        <f>AX105*1000+BC100</f>
        <v>5005</v>
      </c>
      <c r="BD105">
        <f>AX105*1000+BD100</f>
        <v>5006</v>
      </c>
    </row>
    <row r="106" spans="1:56" ht="15.75" thickBot="1" x14ac:dyDescent="0.3">
      <c r="A106" s="181">
        <f>-J98*B99</f>
        <v>1269682.2133333336</v>
      </c>
      <c r="B106" s="125">
        <f>J98*B98</f>
        <v>0</v>
      </c>
      <c r="C106" s="125">
        <f>H99</f>
        <v>126968221.33333336</v>
      </c>
      <c r="D106" s="125">
        <f>J98*B99</f>
        <v>-1269682.2133333336</v>
      </c>
      <c r="E106" s="125">
        <f>-J98*B98</f>
        <v>0</v>
      </c>
      <c r="F106" s="126">
        <f>H98</f>
        <v>253936442.66666672</v>
      </c>
      <c r="G106" s="125">
        <v>6</v>
      </c>
      <c r="H106" s="127"/>
      <c r="I106" s="127"/>
      <c r="J106" s="128"/>
      <c r="K106" s="99"/>
      <c r="L106" s="120">
        <v>0</v>
      </c>
      <c r="M106" s="120">
        <f>J98</f>
        <v>1269682.2133333336</v>
      </c>
      <c r="N106" s="120">
        <f>H99</f>
        <v>126968221.33333336</v>
      </c>
      <c r="O106" s="120">
        <v>0</v>
      </c>
      <c r="P106" s="120">
        <f>-J98</f>
        <v>-1269682.2133333336</v>
      </c>
      <c r="Q106" s="119">
        <f>H98</f>
        <v>253936442.66666672</v>
      </c>
      <c r="R106" s="99"/>
      <c r="S106" s="120">
        <v>0</v>
      </c>
      <c r="T106" s="120">
        <v>0</v>
      </c>
      <c r="U106" s="120">
        <v>0</v>
      </c>
      <c r="V106" s="120">
        <v>0</v>
      </c>
      <c r="W106" s="120">
        <v>0</v>
      </c>
      <c r="X106" s="119">
        <v>1</v>
      </c>
      <c r="Y106" s="99"/>
      <c r="Z106" s="120">
        <f>L106*S101+M106*S102+N106*S103+O106*S104+P106*S105+Q106*S106</f>
        <v>1269682.2133333336</v>
      </c>
      <c r="AA106" s="120">
        <f>L106*T101+M106*T102+N106*T103+O106*T104+P106*T105+Q106*T106</f>
        <v>0</v>
      </c>
      <c r="AB106" s="120">
        <f>L106*U101+M106*U102+N106*U103+O106*U104+P106*U105+Q106*U106</f>
        <v>126968221.33333336</v>
      </c>
      <c r="AC106" s="120">
        <f>L106*V101+M106*V102+N106*V103+O106*V104+P106*V105+Q106*V106</f>
        <v>-1269682.2133333336</v>
      </c>
      <c r="AD106" s="120">
        <f>L106*W101+M106*W102+N106*W103+O106*W104+P106*W105+Q106*W106</f>
        <v>0</v>
      </c>
      <c r="AE106" s="119">
        <f>L106*X101+M106*X102+N106*X103+O106*X104+P106*X105+Q106*X106</f>
        <v>253936442.66666672</v>
      </c>
      <c r="AF106" s="99"/>
      <c r="AG106" s="166">
        <f>K5</f>
        <v>-8.794214135605162E-2</v>
      </c>
      <c r="AH106" s="121"/>
      <c r="AI106" s="121">
        <f>Z106*AG101+AA106*AG102+AB106*AG103+AC106*AG104+AD106*AG105+AE106*AG106</f>
        <v>0</v>
      </c>
      <c r="AJ106" s="173"/>
      <c r="AX106">
        <f t="shared" si="31"/>
        <v>6</v>
      </c>
      <c r="AY106">
        <f>AX106*1000+AY100</f>
        <v>6010</v>
      </c>
      <c r="AZ106">
        <f>AX106*1000+AZ100</f>
        <v>6011</v>
      </c>
      <c r="BA106">
        <f>AX106*1000+BA100</f>
        <v>6012</v>
      </c>
      <c r="BB106">
        <f>AX106*1000+BB100</f>
        <v>6004</v>
      </c>
      <c r="BC106">
        <f>AX106*1000+BC100</f>
        <v>6005</v>
      </c>
      <c r="BD106">
        <f>AX106*1000+BD100</f>
        <v>6006</v>
      </c>
    </row>
    <row r="107" spans="1:56" x14ac:dyDescent="0.25">
      <c r="AJ107" s="173"/>
    </row>
    <row r="108" spans="1:56" x14ac:dyDescent="0.25">
      <c r="A108" s="176"/>
      <c r="B108" s="132">
        <f>A109</f>
        <v>1</v>
      </c>
      <c r="C108" s="4">
        <f>A110</f>
        <v>2</v>
      </c>
      <c r="D108" s="4">
        <f>A111</f>
        <v>3</v>
      </c>
      <c r="E108" s="4">
        <f>A112</f>
        <v>4</v>
      </c>
      <c r="F108" s="4">
        <f>A113</f>
        <v>5</v>
      </c>
      <c r="G108" s="4">
        <f>A114</f>
        <v>6</v>
      </c>
      <c r="H108" s="4">
        <f>A115</f>
        <v>7</v>
      </c>
      <c r="I108" s="4">
        <f>A116</f>
        <v>8</v>
      </c>
      <c r="J108" s="4">
        <f>A117</f>
        <v>9</v>
      </c>
      <c r="K108" s="4">
        <f>A118</f>
        <v>10</v>
      </c>
      <c r="L108" s="4">
        <f>A119</f>
        <v>11</v>
      </c>
      <c r="M108" s="4">
        <f>A120</f>
        <v>12</v>
      </c>
      <c r="AJ108" s="173"/>
    </row>
    <row r="109" spans="1:56" x14ac:dyDescent="0.25">
      <c r="A109" s="182">
        <v>1</v>
      </c>
      <c r="B109" s="120">
        <f>SUMIF($AY$83:$BD$105,$A$109*1000+B108,$A$83:$F$106)</f>
        <v>1828.3423872000003</v>
      </c>
      <c r="C109" s="120">
        <f t="shared" ref="C109:M109" si="32">SUMIF($AY$83:$BD$105,$A$109*1000+C108,$A$83:$F$106)</f>
        <v>0</v>
      </c>
      <c r="D109" s="120">
        <f t="shared" si="32"/>
        <v>-457085.59680000006</v>
      </c>
      <c r="E109" s="120">
        <f t="shared" si="32"/>
        <v>0</v>
      </c>
      <c r="F109" s="155">
        <f t="shared" si="32"/>
        <v>0</v>
      </c>
      <c r="G109" s="120">
        <f t="shared" si="32"/>
        <v>0</v>
      </c>
      <c r="H109" s="120">
        <f t="shared" si="32"/>
        <v>-1828.3423872000003</v>
      </c>
      <c r="I109" s="120">
        <f t="shared" si="32"/>
        <v>0</v>
      </c>
      <c r="J109" s="120">
        <f t="shared" si="32"/>
        <v>-457085.59680000006</v>
      </c>
      <c r="K109" s="120">
        <f t="shared" si="32"/>
        <v>0</v>
      </c>
      <c r="L109" s="120">
        <f t="shared" si="32"/>
        <v>0</v>
      </c>
      <c r="M109" s="119">
        <f t="shared" si="32"/>
        <v>0</v>
      </c>
      <c r="N109" s="20"/>
      <c r="O109" s="130" t="s">
        <v>59</v>
      </c>
      <c r="P109" s="183"/>
      <c r="Q109" s="130">
        <v>0</v>
      </c>
      <c r="R109" s="20"/>
      <c r="S109" s="20"/>
      <c r="AJ109" s="173"/>
    </row>
    <row r="110" spans="1:56" x14ac:dyDescent="0.25">
      <c r="A110" s="182">
        <v>2</v>
      </c>
      <c r="B110" s="120">
        <f>SUMIF($AY$83:$BD$105,$A$110*1000+B108,$A$83:$F$106)</f>
        <v>0</v>
      </c>
      <c r="C110" s="120">
        <f t="shared" ref="C110:M110" si="33">SUMIF($AY$83:$BD$105,$A$110*1000+C108,$A$83:$F$106)</f>
        <v>136920</v>
      </c>
      <c r="D110" s="120">
        <f t="shared" si="33"/>
        <v>0</v>
      </c>
      <c r="E110" s="120">
        <f t="shared" si="33"/>
        <v>0</v>
      </c>
      <c r="F110" s="155">
        <f t="shared" si="33"/>
        <v>0</v>
      </c>
      <c r="G110" s="120">
        <f t="shared" si="33"/>
        <v>0</v>
      </c>
      <c r="H110" s="120">
        <f t="shared" si="33"/>
        <v>0</v>
      </c>
      <c r="I110" s="120">
        <f t="shared" si="33"/>
        <v>-136920</v>
      </c>
      <c r="J110" s="120">
        <f t="shared" si="33"/>
        <v>0</v>
      </c>
      <c r="K110" s="120">
        <f t="shared" si="33"/>
        <v>0</v>
      </c>
      <c r="L110" s="120">
        <f t="shared" si="33"/>
        <v>0</v>
      </c>
      <c r="M110" s="119">
        <f t="shared" si="33"/>
        <v>0</v>
      </c>
      <c r="N110" s="20"/>
      <c r="O110" s="130" t="s">
        <v>60</v>
      </c>
      <c r="P110" s="183"/>
      <c r="Q110" s="130">
        <v>0</v>
      </c>
      <c r="R110" s="20"/>
      <c r="S110" s="20"/>
      <c r="AG110" s="20">
        <f>B76</f>
        <v>0</v>
      </c>
      <c r="AH110" s="20">
        <f>C76</f>
        <v>0</v>
      </c>
      <c r="AJ110" s="173"/>
    </row>
    <row r="111" spans="1:56" x14ac:dyDescent="0.25">
      <c r="A111" s="182">
        <v>3</v>
      </c>
      <c r="B111" s="120">
        <f>SUMIF($AY$83:$BD$105,$A$111*1000+B108,$A$83:$F$106)</f>
        <v>-457085.59680000006</v>
      </c>
      <c r="C111" s="120">
        <f t="shared" ref="C111:M111" si="34">SUMIF($AY$83:$BD$105,$A$111*1000+C108,$A$83:$F$106)</f>
        <v>0</v>
      </c>
      <c r="D111" s="120">
        <f t="shared" si="34"/>
        <v>152361865.60000002</v>
      </c>
      <c r="E111" s="120">
        <f t="shared" si="34"/>
        <v>0</v>
      </c>
      <c r="F111" s="155">
        <f t="shared" si="34"/>
        <v>0</v>
      </c>
      <c r="G111" s="120">
        <f t="shared" si="34"/>
        <v>0</v>
      </c>
      <c r="H111" s="120">
        <f t="shared" si="34"/>
        <v>457085.59680000006</v>
      </c>
      <c r="I111" s="120">
        <f t="shared" si="34"/>
        <v>0</v>
      </c>
      <c r="J111" s="120">
        <f t="shared" si="34"/>
        <v>76180932.800000012</v>
      </c>
      <c r="K111" s="120">
        <f t="shared" si="34"/>
        <v>0</v>
      </c>
      <c r="L111" s="120">
        <f t="shared" si="34"/>
        <v>0</v>
      </c>
      <c r="M111" s="119">
        <f t="shared" si="34"/>
        <v>0</v>
      </c>
      <c r="N111" s="20"/>
      <c r="O111" s="130" t="s">
        <v>84</v>
      </c>
      <c r="P111" s="183"/>
      <c r="Q111" s="130">
        <v>0</v>
      </c>
      <c r="R111" s="20"/>
      <c r="S111" s="20"/>
      <c r="AG111" s="151">
        <f>B77+AG86</f>
        <v>22.902071457522705</v>
      </c>
      <c r="AH111" s="20">
        <f>C77+AG87</f>
        <v>500.15253894405453</v>
      </c>
      <c r="AJ111" s="173"/>
    </row>
    <row r="112" spans="1:56" x14ac:dyDescent="0.25">
      <c r="A112" s="182">
        <v>4</v>
      </c>
      <c r="B112" s="120">
        <f>SUMIF($AY$26:$BD$49,$A$112*1000+B108,$A$26:$F$49)</f>
        <v>0</v>
      </c>
      <c r="C112" s="120">
        <f t="shared" ref="C112:M112" si="35">SUMIF($AY$26:$BD$49,$A$112*1000+C108,$A$26:$F$49)</f>
        <v>0</v>
      </c>
      <c r="D112" s="120">
        <f t="shared" si="35"/>
        <v>0</v>
      </c>
      <c r="E112" s="120">
        <f t="shared" si="35"/>
        <v>8464.5480888888906</v>
      </c>
      <c r="F112" s="155">
        <f t="shared" si="35"/>
        <v>0</v>
      </c>
      <c r="G112" s="120">
        <f t="shared" si="35"/>
        <v>-1269682.2133333336</v>
      </c>
      <c r="H112" s="120">
        <f t="shared" si="35"/>
        <v>0</v>
      </c>
      <c r="I112" s="120">
        <f t="shared" si="35"/>
        <v>0</v>
      </c>
      <c r="J112" s="120">
        <f t="shared" si="35"/>
        <v>0</v>
      </c>
      <c r="K112" s="120">
        <f t="shared" si="35"/>
        <v>-8464.5480888888906</v>
      </c>
      <c r="L112" s="120">
        <f t="shared" si="35"/>
        <v>0</v>
      </c>
      <c r="M112" s="119">
        <f t="shared" si="35"/>
        <v>-1269682.2133333336</v>
      </c>
      <c r="N112" s="20"/>
      <c r="O112" s="130" t="s">
        <v>85</v>
      </c>
      <c r="P112" s="183"/>
      <c r="Q112" s="131">
        <v>0</v>
      </c>
      <c r="R112" s="20"/>
      <c r="S112" s="20"/>
      <c r="AG112" s="20">
        <f>B78+AG95</f>
        <v>622.57270717513529</v>
      </c>
      <c r="AH112" s="20">
        <f>C78+AG96</f>
        <v>299.90847663356726</v>
      </c>
      <c r="AJ112" s="173"/>
    </row>
    <row r="113" spans="1:36" ht="15.75" thickBot="1" x14ac:dyDescent="0.3">
      <c r="A113" s="182">
        <v>5</v>
      </c>
      <c r="B113" s="152">
        <f>SUMIF($AY$26:$BD$49,$A$113*1000+B108,$A$26:$F$49)</f>
        <v>0</v>
      </c>
      <c r="C113" s="153">
        <f t="shared" ref="C113:M113" si="36">SUMIF($AY$26:$BD$49,$A$113*1000+C108,$A$26:$F$49)</f>
        <v>0</v>
      </c>
      <c r="D113" s="153">
        <f t="shared" si="36"/>
        <v>0</v>
      </c>
      <c r="E113" s="153">
        <f t="shared" si="36"/>
        <v>0</v>
      </c>
      <c r="F113" s="156">
        <f t="shared" si="36"/>
        <v>228200</v>
      </c>
      <c r="G113" s="153">
        <f t="shared" si="36"/>
        <v>0</v>
      </c>
      <c r="H113" s="153">
        <f t="shared" si="36"/>
        <v>0</v>
      </c>
      <c r="I113" s="153">
        <f t="shared" si="36"/>
        <v>0</v>
      </c>
      <c r="J113" s="153">
        <f t="shared" si="36"/>
        <v>0</v>
      </c>
      <c r="K113" s="153">
        <f t="shared" si="36"/>
        <v>0</v>
      </c>
      <c r="L113" s="153">
        <f t="shared" si="36"/>
        <v>-228200</v>
      </c>
      <c r="M113" s="154">
        <f t="shared" si="36"/>
        <v>0</v>
      </c>
      <c r="N113" s="20"/>
      <c r="O113" s="130" t="s">
        <v>135</v>
      </c>
      <c r="P113" s="20"/>
      <c r="Q113" s="130">
        <v>0</v>
      </c>
      <c r="R113" s="20"/>
      <c r="S113" s="20"/>
      <c r="AG113" s="20">
        <f>D78</f>
        <v>600</v>
      </c>
      <c r="AH113" s="20">
        <f>E78</f>
        <v>0</v>
      </c>
      <c r="AJ113" s="173"/>
    </row>
    <row r="114" spans="1:36" x14ac:dyDescent="0.25">
      <c r="A114" s="182">
        <v>6</v>
      </c>
      <c r="B114" s="189">
        <f>SUMIF($AY$26:$BD$49,$A$114*1000+B108,$A$26:$F$49)</f>
        <v>0</v>
      </c>
      <c r="C114" s="120">
        <f t="shared" ref="C114:F114" si="37">SUMIF($AY$26:$BD$49,$A$114*1000+C108,$A$26:$F$49)</f>
        <v>0</v>
      </c>
      <c r="D114" s="120">
        <f t="shared" si="37"/>
        <v>0</v>
      </c>
      <c r="E114" s="120">
        <f t="shared" si="37"/>
        <v>-1269682.2133333336</v>
      </c>
      <c r="F114" s="155">
        <f t="shared" si="37"/>
        <v>0</v>
      </c>
      <c r="G114" s="184">
        <f>F49</f>
        <v>253936442.66666672</v>
      </c>
      <c r="H114" s="129">
        <v>0</v>
      </c>
      <c r="I114" s="129">
        <v>0</v>
      </c>
      <c r="J114" s="129">
        <v>0</v>
      </c>
      <c r="K114" s="129">
        <f>A49</f>
        <v>1269682.2133333336</v>
      </c>
      <c r="L114" s="129">
        <v>0</v>
      </c>
      <c r="M114" s="158">
        <f>C106</f>
        <v>126968221.33333336</v>
      </c>
      <c r="N114" s="20"/>
      <c r="O114" s="130" t="s">
        <v>64</v>
      </c>
      <c r="P114" s="20"/>
      <c r="Q114" s="130">
        <v>0</v>
      </c>
      <c r="R114" s="20"/>
      <c r="S114" s="166">
        <f>K5</f>
        <v>-8.794214135605162E-2</v>
      </c>
      <c r="AG114" s="20"/>
      <c r="AH114" s="20"/>
      <c r="AJ114" s="173"/>
    </row>
    <row r="115" spans="1:36" x14ac:dyDescent="0.25">
      <c r="A115" s="182">
        <v>7</v>
      </c>
      <c r="B115" s="120">
        <f>SUMIF($AY$26:$BD$49,$A$115*1000+B108,$A$26:$F$49)</f>
        <v>-1828.3423872000003</v>
      </c>
      <c r="C115" s="120">
        <f t="shared" ref="C115:F115" si="38">SUMIF($AY$26:$BD$49,$A$115*1000+C108,$A$26:$F$49)</f>
        <v>0</v>
      </c>
      <c r="D115" s="120">
        <f t="shared" si="38"/>
        <v>457085.59680000006</v>
      </c>
      <c r="E115" s="120">
        <f t="shared" si="38"/>
        <v>0</v>
      </c>
      <c r="F115" s="155">
        <f t="shared" si="38"/>
        <v>0</v>
      </c>
      <c r="G115" s="129">
        <v>0</v>
      </c>
      <c r="H115" s="184">
        <f t="shared" ref="H115:J117" si="39">D86+A92</f>
        <v>85659.585700377225</v>
      </c>
      <c r="I115" s="129">
        <f t="shared" si="39"/>
        <v>-27767.800799352925</v>
      </c>
      <c r="J115" s="129">
        <f t="shared" si="39"/>
        <v>509869.68831184402</v>
      </c>
      <c r="K115" s="129">
        <f t="shared" ref="K115:M117" si="40">D92</f>
        <v>-83831.243313177227</v>
      </c>
      <c r="L115" s="129">
        <f t="shared" si="40"/>
        <v>27767.800799352925</v>
      </c>
      <c r="M115" s="158">
        <f t="shared" si="40"/>
        <v>52784.091511843944</v>
      </c>
      <c r="N115" s="145" t="s">
        <v>126</v>
      </c>
      <c r="O115" s="130" t="s">
        <v>78</v>
      </c>
      <c r="P115" s="123" t="s">
        <v>58</v>
      </c>
      <c r="Q115" s="121">
        <f>$Y$12</f>
        <v>40000</v>
      </c>
      <c r="R115" s="120"/>
      <c r="S115" s="166">
        <f>K6</f>
        <v>22.902071457522705</v>
      </c>
      <c r="AJ115" s="173"/>
    </row>
    <row r="116" spans="1:36" x14ac:dyDescent="0.25">
      <c r="A116" s="182">
        <v>8</v>
      </c>
      <c r="B116" s="120">
        <f>SUMIF($AY$26:$BD$49,$A$116*1000+B108,$A$26:$F$49)</f>
        <v>0</v>
      </c>
      <c r="C116" s="120">
        <f t="shared" ref="C116:F116" si="41">SUMIF($AY$26:$BD$49,$A$116*1000+C108,$A$26:$F$49)</f>
        <v>-136920</v>
      </c>
      <c r="D116" s="120">
        <f t="shared" si="41"/>
        <v>0</v>
      </c>
      <c r="E116" s="120">
        <f t="shared" si="41"/>
        <v>0</v>
      </c>
      <c r="F116" s="155">
        <f t="shared" si="41"/>
        <v>0</v>
      </c>
      <c r="G116" s="129">
        <v>0</v>
      </c>
      <c r="H116" s="129">
        <f t="shared" si="39"/>
        <v>-27767.800799352925</v>
      </c>
      <c r="I116" s="184">
        <f t="shared" si="39"/>
        <v>146703.77451490273</v>
      </c>
      <c r="J116" s="129">
        <f t="shared" si="39"/>
        <v>158352.27453553185</v>
      </c>
      <c r="K116" s="129">
        <f t="shared" si="40"/>
        <v>27767.800799352925</v>
      </c>
      <c r="L116" s="129">
        <f t="shared" si="40"/>
        <v>-9783.7745149027469</v>
      </c>
      <c r="M116" s="158">
        <f t="shared" si="40"/>
        <v>158352.27453553185</v>
      </c>
      <c r="N116" s="99"/>
      <c r="O116" s="130" t="s">
        <v>79</v>
      </c>
      <c r="P116" s="99"/>
      <c r="Q116" s="121">
        <v>0</v>
      </c>
      <c r="R116" s="120"/>
      <c r="S116" s="166">
        <f t="shared" ref="S116:S120" si="42">K7</f>
        <v>0.1525389440545552</v>
      </c>
      <c r="AJ116" s="173"/>
    </row>
    <row r="117" spans="1:36" x14ac:dyDescent="0.25">
      <c r="A117" s="182">
        <v>9</v>
      </c>
      <c r="B117" s="120">
        <f>SUMIF($AY$26:$BD$49,$A$117*1000+B108,$A$26:$F$49)</f>
        <v>-457085.59680000006</v>
      </c>
      <c r="C117" s="120">
        <f t="shared" ref="C117:F117" si="43">SUMIF($AY$26:$BD$49,$A$117*1000+C108,$A$26:$F$49)</f>
        <v>0</v>
      </c>
      <c r="D117" s="120">
        <f t="shared" si="43"/>
        <v>76180932.800000012</v>
      </c>
      <c r="E117" s="120">
        <f t="shared" si="43"/>
        <v>0</v>
      </c>
      <c r="F117" s="155">
        <f t="shared" si="43"/>
        <v>0</v>
      </c>
      <c r="G117" s="129">
        <v>0</v>
      </c>
      <c r="H117" s="129">
        <f t="shared" si="39"/>
        <v>509869.68831184402</v>
      </c>
      <c r="I117" s="129">
        <f t="shared" si="39"/>
        <v>158352.27453553185</v>
      </c>
      <c r="J117" s="184">
        <f t="shared" si="39"/>
        <v>222740654.28245863</v>
      </c>
      <c r="K117" s="129">
        <f t="shared" si="40"/>
        <v>-52784.091511843944</v>
      </c>
      <c r="L117" s="129">
        <f t="shared" si="40"/>
        <v>-158352.27453553185</v>
      </c>
      <c r="M117" s="158">
        <f t="shared" si="40"/>
        <v>35189394.341229305</v>
      </c>
      <c r="N117" s="99"/>
      <c r="O117" s="130" t="s">
        <v>80</v>
      </c>
      <c r="P117" s="99"/>
      <c r="Q117" s="121">
        <v>0</v>
      </c>
      <c r="R117" s="120"/>
      <c r="S117" s="166">
        <f t="shared" si="42"/>
        <v>-3.9374502540716359E-2</v>
      </c>
      <c r="AJ117" s="173"/>
    </row>
    <row r="118" spans="1:36" x14ac:dyDescent="0.25">
      <c r="A118" s="182">
        <v>10</v>
      </c>
      <c r="B118" s="120">
        <f>SUMIF($AY$26:$BD$49,$A$118*1000+B108,$A$26:$F$49)</f>
        <v>0</v>
      </c>
      <c r="C118" s="120">
        <f t="shared" ref="C118:F118" si="44">SUMIF($AY$26:$BD$49,$A$118*1000+C108,$A$26:$F$49)</f>
        <v>0</v>
      </c>
      <c r="D118" s="120">
        <f t="shared" si="44"/>
        <v>0</v>
      </c>
      <c r="E118" s="120">
        <f t="shared" si="44"/>
        <v>-8464.5480888888906</v>
      </c>
      <c r="F118" s="155">
        <f t="shared" si="44"/>
        <v>0</v>
      </c>
      <c r="G118" s="129">
        <f>F101</f>
        <v>1269682.2133333336</v>
      </c>
      <c r="H118" s="129">
        <f t="shared" ref="H118:J120" si="45">A95</f>
        <v>-83831.243313177227</v>
      </c>
      <c r="I118" s="129">
        <f t="shared" si="45"/>
        <v>27767.800799352925</v>
      </c>
      <c r="J118" s="129">
        <f t="shared" si="45"/>
        <v>-52784.091511843944</v>
      </c>
      <c r="K118" s="184">
        <f>D95+A101</f>
        <v>92295.791402066112</v>
      </c>
      <c r="L118" s="129">
        <f>E95</f>
        <v>-27767.800799352925</v>
      </c>
      <c r="M118" s="158">
        <f>F95+C101</f>
        <v>1216898.1218214897</v>
      </c>
      <c r="N118" s="99"/>
      <c r="O118" s="130" t="s">
        <v>81</v>
      </c>
      <c r="P118" s="99"/>
      <c r="Q118" s="121">
        <f>$Y$13</f>
        <v>0</v>
      </c>
      <c r="R118" s="185" t="str">
        <f>"D="</f>
        <v>D=</v>
      </c>
      <c r="S118" s="166">
        <f t="shared" si="42"/>
        <v>22.572707175135271</v>
      </c>
      <c r="AJ118" s="173"/>
    </row>
    <row r="119" spans="1:36" x14ac:dyDescent="0.25">
      <c r="A119" s="182">
        <v>11</v>
      </c>
      <c r="B119" s="120">
        <f>SUMIF($AY$26:$BD$49,$A$119*1000+B108,$A$26:$F$49)</f>
        <v>0</v>
      </c>
      <c r="C119" s="120">
        <f t="shared" ref="C119:F119" si="46">SUMIF($AY$26:$BD$49,$A$119*1000+C108,$A$26:$F$49)</f>
        <v>0</v>
      </c>
      <c r="D119" s="120">
        <f t="shared" si="46"/>
        <v>0</v>
      </c>
      <c r="E119" s="120">
        <f t="shared" si="46"/>
        <v>0</v>
      </c>
      <c r="F119" s="155">
        <f t="shared" si="46"/>
        <v>-228200</v>
      </c>
      <c r="G119" s="129">
        <v>0</v>
      </c>
      <c r="H119" s="129">
        <f t="shared" si="45"/>
        <v>27767.800799352925</v>
      </c>
      <c r="I119" s="129">
        <f t="shared" si="45"/>
        <v>-9783.7745149027469</v>
      </c>
      <c r="J119" s="129">
        <f t="shared" si="45"/>
        <v>-158352.27453553185</v>
      </c>
      <c r="K119" s="129">
        <f>D96+A102</f>
        <v>-27767.800799352925</v>
      </c>
      <c r="L119" s="184">
        <f>E96+B102</f>
        <v>237983.77451490273</v>
      </c>
      <c r="M119" s="158">
        <f>F96+C102</f>
        <v>-158352.27453553185</v>
      </c>
      <c r="N119" s="99"/>
      <c r="O119" s="130" t="s">
        <v>82</v>
      </c>
      <c r="P119" s="99"/>
      <c r="Q119" s="121">
        <v>0</v>
      </c>
      <c r="R119" s="120"/>
      <c r="S119" s="166">
        <f t="shared" si="42"/>
        <v>-9.1523366432732969E-2</v>
      </c>
      <c r="AJ119" s="173"/>
    </row>
    <row r="120" spans="1:36" x14ac:dyDescent="0.25">
      <c r="A120" s="182">
        <v>12</v>
      </c>
      <c r="B120" s="120">
        <f>SUMIF($AY$26:$BD$49,$A$120*1000+B108,$A$26:$F$49)</f>
        <v>0</v>
      </c>
      <c r="C120" s="120">
        <f t="shared" ref="C120:F120" si="47">SUMIF($AY$26:$BD$49,$A$120*1000+C108,$A$26:$F$49)</f>
        <v>0</v>
      </c>
      <c r="D120" s="120">
        <f t="shared" si="47"/>
        <v>0</v>
      </c>
      <c r="E120" s="120">
        <f t="shared" si="47"/>
        <v>-1269682.2133333336</v>
      </c>
      <c r="F120" s="155">
        <f t="shared" si="47"/>
        <v>0</v>
      </c>
      <c r="G120" s="129">
        <f>F103</f>
        <v>126968221.33333336</v>
      </c>
      <c r="H120" s="129">
        <f t="shared" si="45"/>
        <v>52784.091511843944</v>
      </c>
      <c r="I120" s="129">
        <f t="shared" si="45"/>
        <v>158352.27453553185</v>
      </c>
      <c r="J120" s="129">
        <f t="shared" si="45"/>
        <v>35189394.341229305</v>
      </c>
      <c r="K120" s="129">
        <f>D97+A103</f>
        <v>1216898.1218214897</v>
      </c>
      <c r="L120" s="129">
        <f>E97+B103</f>
        <v>-158352.27453553185</v>
      </c>
      <c r="M120" s="157">
        <f>F97+C103</f>
        <v>324315231.34912533</v>
      </c>
      <c r="N120" s="99"/>
      <c r="O120" s="130" t="s">
        <v>83</v>
      </c>
      <c r="P120" s="99"/>
      <c r="Q120" s="121">
        <v>0</v>
      </c>
      <c r="R120" s="120"/>
      <c r="S120" s="166">
        <f t="shared" si="42"/>
        <v>-4.9842789039249484E-2</v>
      </c>
      <c r="AJ120" s="173"/>
    </row>
    <row r="121" spans="1:36" ht="15.75" thickBot="1" x14ac:dyDescent="0.3">
      <c r="AJ121" s="173"/>
    </row>
    <row r="122" spans="1:36" ht="16.5" thickBot="1" x14ac:dyDescent="0.3">
      <c r="A122" s="225" t="s">
        <v>72</v>
      </c>
      <c r="B122" s="226"/>
      <c r="C122" s="226"/>
      <c r="D122" s="227"/>
      <c r="E122" s="20"/>
      <c r="F122" s="168" t="s">
        <v>138</v>
      </c>
      <c r="G122" s="168" t="s">
        <v>139</v>
      </c>
      <c r="H122" s="169" t="s">
        <v>140</v>
      </c>
      <c r="I122" s="168" t="s">
        <v>141</v>
      </c>
      <c r="J122" s="170" t="s">
        <v>146</v>
      </c>
      <c r="K122" s="242" t="s">
        <v>147</v>
      </c>
      <c r="L122" s="243"/>
      <c r="M122" s="168" t="s">
        <v>142</v>
      </c>
      <c r="N122" s="168" t="s">
        <v>150</v>
      </c>
      <c r="O122" s="191">
        <f>MIN(J123:J127)</f>
        <v>0.16735933241870232</v>
      </c>
      <c r="AJ122" s="173"/>
    </row>
    <row r="123" spans="1:36" ht="15.75" thickBot="1" x14ac:dyDescent="0.3">
      <c r="A123" s="231" t="s">
        <v>149</v>
      </c>
      <c r="B123" s="231"/>
      <c r="C123" s="231"/>
      <c r="D123" s="165">
        <f>G114*$K$5+H114*$K$6+I114*$K$7+J114*$K$8+K114*$K$9+L114*$K$10+M114*$K$11-Q114</f>
        <v>0</v>
      </c>
      <c r="E123" s="20"/>
      <c r="F123" s="237">
        <v>1</v>
      </c>
      <c r="G123" s="139">
        <v>1</v>
      </c>
      <c r="H123" s="139">
        <f>AI85</f>
        <v>7468620.6680302713</v>
      </c>
      <c r="I123" s="139">
        <f>M66-K66</f>
        <v>1634773.3264733595</v>
      </c>
      <c r="J123" s="167">
        <f>I123/H123</f>
        <v>0.21888557461099503</v>
      </c>
      <c r="K123" s="239">
        <f t="shared" ref="K123:K128" si="48">K66+$J$126*H123</f>
        <v>2615218.0426167101</v>
      </c>
      <c r="L123" s="240"/>
      <c r="M123" s="139">
        <f>M66</f>
        <v>3000048.0000000005</v>
      </c>
      <c r="AJ123" s="173"/>
    </row>
    <row r="124" spans="1:36" ht="15.75" thickBot="1" x14ac:dyDescent="0.3">
      <c r="A124" s="231" t="s">
        <v>88</v>
      </c>
      <c r="B124" s="231"/>
      <c r="C124" s="231"/>
      <c r="D124" s="165">
        <f t="shared" ref="D124:D129" si="49">G115*$K$5+H115*$K$6+I115*$K$7+J115*$K$8+K115*$K$9+L115*$K$10+M115*$K$11-Q115</f>
        <v>1.3096723705530167E-10</v>
      </c>
      <c r="E124" s="20"/>
      <c r="F124" s="238"/>
      <c r="G124" s="139">
        <v>2</v>
      </c>
      <c r="H124" s="139">
        <f>-AI88</f>
        <v>-4469034.3359425282</v>
      </c>
      <c r="I124" s="139">
        <f t="shared" ref="I124:I128" si="50">M67-K67</f>
        <v>-2097372.2423227644</v>
      </c>
      <c r="J124" s="167">
        <f t="shared" ref="J124:J128" si="51">I124/H124</f>
        <v>0.46931217902142708</v>
      </c>
      <c r="K124" s="239">
        <f t="shared" si="48"/>
        <v>-1650610.3606968364</v>
      </c>
      <c r="L124" s="240"/>
      <c r="M124" s="139">
        <f t="shared" ref="M124:M128" si="52">M67</f>
        <v>-3000048.0000000005</v>
      </c>
      <c r="AJ124" s="173"/>
    </row>
    <row r="125" spans="1:36" ht="15.75" thickBot="1" x14ac:dyDescent="0.3">
      <c r="A125" s="231" t="s">
        <v>89</v>
      </c>
      <c r="B125" s="231"/>
      <c r="C125" s="231"/>
      <c r="D125" s="165">
        <f t="shared" si="49"/>
        <v>1.4460965758189559E-10</v>
      </c>
      <c r="E125" s="20"/>
      <c r="F125" s="237">
        <v>2</v>
      </c>
      <c r="G125" s="139">
        <v>2</v>
      </c>
      <c r="H125" s="139">
        <f>AI94</f>
        <v>-4469034.3359425282</v>
      </c>
      <c r="I125" s="139">
        <f t="shared" si="50"/>
        <v>-1097418.1223227638</v>
      </c>
      <c r="J125" s="167">
        <f t="shared" si="51"/>
        <v>0.24556045888855677</v>
      </c>
      <c r="K125" s="239">
        <f t="shared" si="48"/>
        <v>-1650610.3606968364</v>
      </c>
      <c r="L125" s="240"/>
      <c r="M125" s="139">
        <f t="shared" si="52"/>
        <v>-2000093.8800000001</v>
      </c>
      <c r="AJ125" s="173"/>
    </row>
    <row r="126" spans="1:36" ht="15.75" thickBot="1" x14ac:dyDescent="0.3">
      <c r="A126" s="231" t="s">
        <v>90</v>
      </c>
      <c r="B126" s="231"/>
      <c r="C126" s="231"/>
      <c r="D126" s="165">
        <f t="shared" si="49"/>
        <v>1.6298145055770874E-9</v>
      </c>
      <c r="E126" s="20"/>
      <c r="F126" s="238"/>
      <c r="G126" s="139">
        <v>3</v>
      </c>
      <c r="H126" s="139">
        <f>-AI97</f>
        <v>4837406.9976163767</v>
      </c>
      <c r="I126" s="139">
        <f t="shared" si="50"/>
        <v>809585.20575863589</v>
      </c>
      <c r="J126" s="203">
        <f t="shared" si="51"/>
        <v>0.16735933241870232</v>
      </c>
      <c r="K126" s="239">
        <f t="shared" si="48"/>
        <v>2000093.8800000004</v>
      </c>
      <c r="L126" s="240"/>
      <c r="M126" s="139">
        <f t="shared" si="52"/>
        <v>2000093.8800000001</v>
      </c>
      <c r="AJ126" s="173"/>
    </row>
    <row r="127" spans="1:36" ht="15.75" thickBot="1" x14ac:dyDescent="0.3">
      <c r="A127" s="231" t="s">
        <v>91</v>
      </c>
      <c r="B127" s="231"/>
      <c r="C127" s="231"/>
      <c r="D127" s="165">
        <f t="shared" si="49"/>
        <v>5.0931703299283981E-11</v>
      </c>
      <c r="E127" s="20"/>
      <c r="F127" s="237">
        <v>3</v>
      </c>
      <c r="G127" s="139">
        <v>3</v>
      </c>
      <c r="H127" s="139">
        <f>AI103</f>
        <v>4837406.9976163805</v>
      </c>
      <c r="I127" s="139">
        <f t="shared" si="50"/>
        <v>1809539.3257586353</v>
      </c>
      <c r="J127" s="167">
        <f t="shared" si="51"/>
        <v>0.3740721685502752</v>
      </c>
      <c r="K127" s="239">
        <f t="shared" si="48"/>
        <v>2000093.8800000018</v>
      </c>
      <c r="L127" s="240"/>
      <c r="M127" s="139">
        <f t="shared" si="52"/>
        <v>3000048.0000000005</v>
      </c>
      <c r="AJ127" s="173"/>
    </row>
    <row r="128" spans="1:36" ht="15.75" thickBot="1" x14ac:dyDescent="0.3">
      <c r="A128" s="231" t="s">
        <v>92</v>
      </c>
      <c r="B128" s="231"/>
      <c r="C128" s="231"/>
      <c r="D128" s="165">
        <f t="shared" si="49"/>
        <v>-6.9121597334742546E-11</v>
      </c>
      <c r="E128" s="20"/>
      <c r="F128" s="238"/>
      <c r="G128" s="139">
        <v>4</v>
      </c>
      <c r="H128" s="139">
        <f>AI106</f>
        <v>0</v>
      </c>
      <c r="I128" s="139">
        <f t="shared" si="50"/>
        <v>0</v>
      </c>
      <c r="J128" s="167" t="e">
        <f t="shared" si="51"/>
        <v>#DIV/0!</v>
      </c>
      <c r="K128" s="239">
        <f t="shared" si="48"/>
        <v>-3000048.0000000009</v>
      </c>
      <c r="L128" s="240"/>
      <c r="M128" s="139">
        <f t="shared" si="52"/>
        <v>-3000048.0000000005</v>
      </c>
      <c r="AJ128" s="173"/>
    </row>
    <row r="129" spans="1:56" ht="15.75" thickBot="1" x14ac:dyDescent="0.3">
      <c r="A129" s="231" t="s">
        <v>93</v>
      </c>
      <c r="B129" s="231"/>
      <c r="C129" s="231"/>
      <c r="D129" s="165">
        <f t="shared" si="49"/>
        <v>7.4505805969238281E-9</v>
      </c>
      <c r="AJ129" s="173"/>
    </row>
    <row r="130" spans="1:56" ht="15.75" thickBot="1" x14ac:dyDescent="0.3">
      <c r="A130" s="187"/>
      <c r="B130" s="187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7"/>
      <c r="AC130" s="187"/>
      <c r="AD130" s="187"/>
      <c r="AE130" s="187"/>
      <c r="AF130" s="187"/>
      <c r="AG130" s="187"/>
      <c r="AH130" s="187"/>
      <c r="AI130" s="187"/>
      <c r="AJ130" s="188"/>
    </row>
    <row r="131" spans="1:56" ht="15.75" thickBot="1" x14ac:dyDescent="0.3">
      <c r="A131" s="244" t="s">
        <v>151</v>
      </c>
      <c r="B131" s="245"/>
      <c r="C131" s="171"/>
      <c r="D131" s="171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171"/>
      <c r="AB131" s="171"/>
      <c r="AC131" s="171"/>
      <c r="AD131" s="171"/>
      <c r="AE131" s="171"/>
      <c r="AF131" s="171"/>
      <c r="AG131" s="171"/>
      <c r="AH131" s="171"/>
      <c r="AI131" s="171"/>
      <c r="AJ131" s="172"/>
    </row>
    <row r="132" spans="1:56" x14ac:dyDescent="0.25">
      <c r="A132" s="249" t="s">
        <v>43</v>
      </c>
      <c r="B132" s="251" t="s">
        <v>45</v>
      </c>
      <c r="C132" s="251"/>
      <c r="D132" s="251" t="s">
        <v>46</v>
      </c>
      <c r="E132" s="251"/>
      <c r="F132" s="235" t="s">
        <v>44</v>
      </c>
      <c r="G132" s="235" t="s">
        <v>130</v>
      </c>
      <c r="H132" s="235"/>
      <c r="I132" s="235"/>
      <c r="J132" s="246" t="s">
        <v>131</v>
      </c>
      <c r="K132" s="235"/>
      <c r="L132" s="247"/>
      <c r="P132" s="209"/>
      <c r="Q132" s="209"/>
      <c r="R132" s="209"/>
      <c r="S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173"/>
    </row>
    <row r="133" spans="1:56" x14ac:dyDescent="0.25">
      <c r="A133" s="250"/>
      <c r="B133" s="97" t="s">
        <v>53</v>
      </c>
      <c r="C133" s="97" t="s">
        <v>54</v>
      </c>
      <c r="D133" s="97" t="s">
        <v>53</v>
      </c>
      <c r="E133" s="97" t="s">
        <v>54</v>
      </c>
      <c r="F133" s="236"/>
      <c r="G133" s="98" t="s">
        <v>115</v>
      </c>
      <c r="H133" s="98" t="s">
        <v>116</v>
      </c>
      <c r="I133" s="98" t="s">
        <v>117</v>
      </c>
      <c r="J133" s="204" t="s">
        <v>115</v>
      </c>
      <c r="K133" s="98" t="s">
        <v>116</v>
      </c>
      <c r="L133" s="212" t="s">
        <v>117</v>
      </c>
      <c r="P133" s="205"/>
      <c r="Q133" s="210"/>
      <c r="R133" s="210"/>
      <c r="S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173"/>
    </row>
    <row r="134" spans="1:56" x14ac:dyDescent="0.25">
      <c r="A134" s="174">
        <v>1</v>
      </c>
      <c r="B134" s="147">
        <v>0</v>
      </c>
      <c r="C134" s="147">
        <v>0</v>
      </c>
      <c r="D134" s="147">
        <f>$B$19</f>
        <v>0</v>
      </c>
      <c r="E134" s="147">
        <f>$B$13</f>
        <v>500</v>
      </c>
      <c r="F134" s="107">
        <f>SQRT(((D134-B134)^2)+((E134-C134)^2))</f>
        <v>500</v>
      </c>
      <c r="G134" s="100">
        <f>AI141</f>
        <v>-9673.1751798901405</v>
      </c>
      <c r="H134" s="137">
        <f>AI142</f>
        <v>40000.000000000015</v>
      </c>
      <c r="I134" s="137">
        <f>AI143</f>
        <v>14196094.892065959</v>
      </c>
      <c r="J134" s="207">
        <f>AI144</f>
        <v>9673.1751798901405</v>
      </c>
      <c r="K134" s="137">
        <f>AI145</f>
        <v>-40000.000000000015</v>
      </c>
      <c r="L134" s="213">
        <f>AI146</f>
        <v>5803905.1079340428</v>
      </c>
      <c r="P134" s="206"/>
      <c r="Q134" s="211"/>
      <c r="R134" s="211"/>
      <c r="S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173"/>
    </row>
    <row r="135" spans="1:56" x14ac:dyDescent="0.25">
      <c r="A135" s="174">
        <v>2</v>
      </c>
      <c r="B135" s="147">
        <f>$D$19</f>
        <v>0</v>
      </c>
      <c r="C135" s="147">
        <f>$E$19</f>
        <v>500</v>
      </c>
      <c r="D135" s="147">
        <f>$F$13</f>
        <v>600</v>
      </c>
      <c r="E135" s="147">
        <f>$D$13</f>
        <v>300</v>
      </c>
      <c r="F135" s="107">
        <f>SQRT(((D135-B135)^2)+((E135-C135)^2))</f>
        <v>632.45553203367592</v>
      </c>
      <c r="G135" s="100">
        <f>AI150</f>
        <v>3058.9265774273363</v>
      </c>
      <c r="H135" s="137">
        <f>AI151</f>
        <v>-9176.7797322784772</v>
      </c>
      <c r="I135" s="137">
        <f>AI152</f>
        <v>-5803905.1079340382</v>
      </c>
      <c r="J135" s="207">
        <f>AI153</f>
        <v>-3058.9265774273363</v>
      </c>
      <c r="K135" s="137">
        <f>AI154</f>
        <v>9176.7797322784772</v>
      </c>
      <c r="L135" s="213">
        <f>AI155</f>
        <v>0</v>
      </c>
      <c r="P135" s="206"/>
      <c r="Q135" s="211"/>
      <c r="R135" s="211"/>
      <c r="S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173"/>
    </row>
    <row r="136" spans="1:56" ht="15.75" thickBot="1" x14ac:dyDescent="0.3">
      <c r="A136" s="175">
        <v>3</v>
      </c>
      <c r="B136" s="65">
        <f>$D$20</f>
        <v>600</v>
      </c>
      <c r="C136" s="65">
        <f>$E$20</f>
        <v>300</v>
      </c>
      <c r="D136" s="65">
        <f>$B$21</f>
        <v>600</v>
      </c>
      <c r="E136" s="65">
        <v>0</v>
      </c>
      <c r="F136" s="141">
        <f>SQRT(((D136-B136)^2)+((E136-C136)^2))</f>
        <v>300</v>
      </c>
      <c r="G136" s="105">
        <f>AI159</f>
        <v>9673.1751798901969</v>
      </c>
      <c r="H136" s="101">
        <f>AI160</f>
        <v>0</v>
      </c>
      <c r="I136" s="101">
        <f>AI161</f>
        <v>0</v>
      </c>
      <c r="J136" s="208">
        <f>AI162</f>
        <v>-9673.1751798901969</v>
      </c>
      <c r="K136" s="101">
        <f>AI163</f>
        <v>0</v>
      </c>
      <c r="L136" s="214">
        <f>AI164</f>
        <v>0</v>
      </c>
      <c r="P136" s="206"/>
      <c r="Q136" s="211"/>
      <c r="R136" s="211"/>
      <c r="S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173"/>
    </row>
    <row r="137" spans="1:56" ht="15.75" thickBot="1" x14ac:dyDescent="0.3">
      <c r="A137" s="176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173"/>
    </row>
    <row r="138" spans="1:56" x14ac:dyDescent="0.25">
      <c r="A138" s="177" t="s">
        <v>118</v>
      </c>
      <c r="B138" s="108">
        <f>(D134-B134)/F134</f>
        <v>0</v>
      </c>
      <c r="C138" s="109" t="s">
        <v>119</v>
      </c>
      <c r="D138" s="108">
        <f>$B$7+0.5*$B$9</f>
        <v>23.1</v>
      </c>
      <c r="E138" s="109" t="s">
        <v>30</v>
      </c>
      <c r="F138" s="110">
        <f>2*((($B$6*($B$7)^3)/12)+($B$6*$B$7)*($B$9+2*$B$7-0.5*$B$7-D138)^2)+($B$8*($B$9)^3)/12</f>
        <v>9069.1586666666681</v>
      </c>
      <c r="G138" s="109" t="s">
        <v>120</v>
      </c>
      <c r="H138" s="150">
        <f>4*$B$14*F138/F134</f>
        <v>152361865.60000002</v>
      </c>
      <c r="I138" s="109" t="s">
        <v>121</v>
      </c>
      <c r="J138" s="111">
        <f>6*$B$14*F138/(F134^2)</f>
        <v>457085.59680000006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173"/>
    </row>
    <row r="139" spans="1:56" x14ac:dyDescent="0.25">
      <c r="A139" s="178" t="s">
        <v>122</v>
      </c>
      <c r="B139" s="112">
        <f>(E134-C134)/F134</f>
        <v>1</v>
      </c>
      <c r="C139" s="113" t="s">
        <v>13</v>
      </c>
      <c r="D139" s="114">
        <f>(2*$B$6*$B$7)+($B$9*$B$8)</f>
        <v>32.6</v>
      </c>
      <c r="E139" s="113" t="s">
        <v>123</v>
      </c>
      <c r="F139" s="151">
        <f>$B$14*D139/F134</f>
        <v>136920</v>
      </c>
      <c r="G139" s="113" t="s">
        <v>124</v>
      </c>
      <c r="H139" s="151">
        <f>2*$B$14*F138/F134</f>
        <v>76180932.800000012</v>
      </c>
      <c r="I139" s="113" t="s">
        <v>125</v>
      </c>
      <c r="J139" s="115">
        <f>12*$B$14*F138/(F134^3)</f>
        <v>1828.3423872000003</v>
      </c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173"/>
    </row>
    <row r="140" spans="1:56" x14ac:dyDescent="0.25">
      <c r="A140" s="179">
        <f>G141</f>
        <v>1</v>
      </c>
      <c r="B140" s="112">
        <f>G142</f>
        <v>2</v>
      </c>
      <c r="C140" s="112">
        <f>G143</f>
        <v>3</v>
      </c>
      <c r="D140" s="112">
        <f>G144</f>
        <v>7</v>
      </c>
      <c r="E140" s="112">
        <f>G145</f>
        <v>8</v>
      </c>
      <c r="F140" s="112">
        <f>G146</f>
        <v>9</v>
      </c>
      <c r="G140" s="113"/>
      <c r="H140" s="113"/>
      <c r="I140" s="113"/>
      <c r="J140" s="116">
        <v>1</v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173"/>
      <c r="AY140">
        <f>AX141</f>
        <v>1</v>
      </c>
      <c r="AZ140">
        <f>AX142</f>
        <v>2</v>
      </c>
      <c r="BA140">
        <f>AX143</f>
        <v>3</v>
      </c>
      <c r="BB140">
        <f>AX144</f>
        <v>7</v>
      </c>
      <c r="BC140">
        <f>AX145</f>
        <v>8</v>
      </c>
      <c r="BD140">
        <f>AX146</f>
        <v>9</v>
      </c>
    </row>
    <row r="141" spans="1:56" x14ac:dyDescent="0.25">
      <c r="A141" s="180">
        <f>(F139*B138^2+J139*B139^2)</f>
        <v>1828.3423872000003</v>
      </c>
      <c r="B141" s="112">
        <f>(F139-J139)*B138*B139</f>
        <v>0</v>
      </c>
      <c r="C141" s="112">
        <f>-J138*B139</f>
        <v>-457085.59680000006</v>
      </c>
      <c r="D141" s="112">
        <f>-(F139*B138^2+J139*B139^2)</f>
        <v>-1828.3423872000003</v>
      </c>
      <c r="E141" s="112">
        <f>-(F139-J139)*B138*B139</f>
        <v>0</v>
      </c>
      <c r="F141" s="112">
        <f>-J138*B139</f>
        <v>-457085.59680000006</v>
      </c>
      <c r="G141" s="112">
        <v>1</v>
      </c>
      <c r="H141" s="113"/>
      <c r="I141" s="113"/>
      <c r="J141" s="117"/>
      <c r="K141" s="99"/>
      <c r="L141" s="120">
        <f>F139</f>
        <v>136920</v>
      </c>
      <c r="M141" s="120">
        <v>0</v>
      </c>
      <c r="N141" s="120">
        <v>0</v>
      </c>
      <c r="O141" s="120">
        <f>-F139</f>
        <v>-136920</v>
      </c>
      <c r="P141" s="120">
        <v>0</v>
      </c>
      <c r="Q141" s="119">
        <v>0</v>
      </c>
      <c r="R141" s="99"/>
      <c r="S141" s="120">
        <f>B138</f>
        <v>0</v>
      </c>
      <c r="T141" s="120">
        <f>B139</f>
        <v>1</v>
      </c>
      <c r="U141" s="120">
        <v>0</v>
      </c>
      <c r="V141" s="120">
        <v>0</v>
      </c>
      <c r="W141" s="120">
        <v>0</v>
      </c>
      <c r="X141" s="119">
        <v>0</v>
      </c>
      <c r="Y141" s="99"/>
      <c r="Z141" s="120">
        <f>L141*S141+M141*S142+N141*S143+O141*S144+P141*S145+Q141*S146</f>
        <v>0</v>
      </c>
      <c r="AA141" s="120">
        <f>L141*T141+M141*T142+N141*T143+O141*T144+P141*T145+Q141*T146</f>
        <v>136920</v>
      </c>
      <c r="AB141" s="120">
        <f>L141*U141+M141*U142+N141*U143+O141*U144+P141*U145+Q141*U146</f>
        <v>0</v>
      </c>
      <c r="AC141" s="120">
        <f>L141*V141+M141*V142+N141*V143+O141*V144+P141*V145+Q141*V146</f>
        <v>0</v>
      </c>
      <c r="AD141" s="120">
        <f>L141*W141+M141*W142+N141*W143+O141*W144+P141*W145+Q141*W146</f>
        <v>-136920</v>
      </c>
      <c r="AE141" s="119">
        <f>L141*X141+M141*X142+N141*X143+O141*X144+P141*X145+Q141*X146</f>
        <v>0</v>
      </c>
      <c r="AF141" s="99"/>
      <c r="AG141" s="121">
        <v>0</v>
      </c>
      <c r="AH141" s="121"/>
      <c r="AI141" s="121">
        <f>Z141*AG141+AA141*AG142+AB141*AG143+AC141*AG144+AD141*AG145+AE141*AG146</f>
        <v>-9673.1751798901405</v>
      </c>
      <c r="AJ141" s="173"/>
      <c r="AX141">
        <f t="shared" ref="AX141:AX146" si="53">G141</f>
        <v>1</v>
      </c>
      <c r="AY141">
        <f>AX141*1000+AY140</f>
        <v>1001</v>
      </c>
      <c r="AZ141">
        <f>AX141*1000+AZ140</f>
        <v>1002</v>
      </c>
      <c r="BA141">
        <f>AX141*1000+BA140</f>
        <v>1003</v>
      </c>
      <c r="BB141">
        <f>AX141*1000+BB140</f>
        <v>1007</v>
      </c>
      <c r="BC141">
        <f>AX141*1000+BC140</f>
        <v>1008</v>
      </c>
      <c r="BD141">
        <f>AX141*1000+BD140</f>
        <v>1009</v>
      </c>
    </row>
    <row r="142" spans="1:56" x14ac:dyDescent="0.25">
      <c r="A142" s="179">
        <f>(F139-J139)*B138*B139</f>
        <v>0</v>
      </c>
      <c r="B142" s="122">
        <f>(F139*B139^2+J139*B138^2)</f>
        <v>136920</v>
      </c>
      <c r="C142" s="112">
        <f>J138*B138</f>
        <v>0</v>
      </c>
      <c r="D142" s="112">
        <f>-(F139-J139)*B138*B139</f>
        <v>0</v>
      </c>
      <c r="E142" s="112">
        <f>-(F139*B139^2+J139*B138^2)</f>
        <v>-136920</v>
      </c>
      <c r="F142" s="112">
        <f>J138*B138</f>
        <v>0</v>
      </c>
      <c r="G142" s="112">
        <v>2</v>
      </c>
      <c r="H142" s="113"/>
      <c r="I142" s="113"/>
      <c r="J142" s="117"/>
      <c r="K142" s="99"/>
      <c r="L142" s="120">
        <v>0</v>
      </c>
      <c r="M142" s="120">
        <f>J139</f>
        <v>1828.3423872000003</v>
      </c>
      <c r="N142" s="120">
        <f>J138</f>
        <v>457085.59680000006</v>
      </c>
      <c r="O142" s="120">
        <v>0</v>
      </c>
      <c r="P142" s="120">
        <f>-J139</f>
        <v>-1828.3423872000003</v>
      </c>
      <c r="Q142" s="119">
        <f>J138</f>
        <v>457085.59680000006</v>
      </c>
      <c r="R142" s="99"/>
      <c r="S142" s="120">
        <f>-B139</f>
        <v>-1</v>
      </c>
      <c r="T142" s="120">
        <f>B138</f>
        <v>0</v>
      </c>
      <c r="U142" s="120">
        <v>0</v>
      </c>
      <c r="V142" s="120">
        <v>0</v>
      </c>
      <c r="W142" s="120">
        <v>0</v>
      </c>
      <c r="X142" s="119">
        <v>0</v>
      </c>
      <c r="Y142" s="99"/>
      <c r="Z142" s="120">
        <f>L142*S141+M142*S142+N142*S143+O142*S144+P142*S145+Q142*S146</f>
        <v>-1828.3423872000003</v>
      </c>
      <c r="AA142" s="120">
        <f>L142*T141+M142*T142+N142*T143+O142*T144+P142*T145+Q142*T146</f>
        <v>0</v>
      </c>
      <c r="AB142" s="120">
        <f>L142*U141+M142*U142+N142*U143+O142*U144+P142*U145+Q142*U146</f>
        <v>457085.59680000006</v>
      </c>
      <c r="AC142" s="120">
        <f>L142*V141+M142*V142+N142*V143+O142*V144+P142*V145+Q142*V146</f>
        <v>1828.3423872000003</v>
      </c>
      <c r="AD142" s="120">
        <f>L142*W141+M142*W142+N142*W143+O142*W144+P142*W145+Q142*W146</f>
        <v>0</v>
      </c>
      <c r="AE142" s="119">
        <f>L142*X141+M142*X142+N142*X143+O142*X144+P142*X145+Q142*X146</f>
        <v>457085.59680000006</v>
      </c>
      <c r="AF142" s="99"/>
      <c r="AG142" s="121">
        <v>0</v>
      </c>
      <c r="AH142" s="121"/>
      <c r="AI142" s="121">
        <f>Z142*AG141+AA142*AG142+AB142*AG143+AC142*AG144+AD142*AG145+AE142*AG146</f>
        <v>40000.000000000015</v>
      </c>
      <c r="AJ142" s="173"/>
      <c r="AX142">
        <f t="shared" si="53"/>
        <v>2</v>
      </c>
      <c r="AY142">
        <f>AX142*1000+AY140</f>
        <v>2001</v>
      </c>
      <c r="AZ142">
        <f>AX142*1000+AZ140</f>
        <v>2002</v>
      </c>
      <c r="BA142">
        <f>AX142*1000+BA140</f>
        <v>2003</v>
      </c>
      <c r="BB142">
        <f>AX142*1000+BB140</f>
        <v>2007</v>
      </c>
      <c r="BC142">
        <f>AX142*1000+BC140</f>
        <v>2008</v>
      </c>
      <c r="BD142">
        <f>AX142*1000+BD140</f>
        <v>2009</v>
      </c>
    </row>
    <row r="143" spans="1:56" x14ac:dyDescent="0.25">
      <c r="A143" s="179">
        <f>-J138*B139</f>
        <v>-457085.59680000006</v>
      </c>
      <c r="B143" s="112">
        <f>J138*B138</f>
        <v>0</v>
      </c>
      <c r="C143" s="122">
        <f>H138</f>
        <v>152361865.60000002</v>
      </c>
      <c r="D143" s="112">
        <f>J138*B139</f>
        <v>457085.59680000006</v>
      </c>
      <c r="E143" s="112">
        <f>-J138*B138</f>
        <v>0</v>
      </c>
      <c r="F143" s="112">
        <f>H139</f>
        <v>76180932.800000012</v>
      </c>
      <c r="G143" s="112">
        <v>3</v>
      </c>
      <c r="H143" s="113"/>
      <c r="I143" s="113"/>
      <c r="J143" s="117"/>
      <c r="K143" s="99"/>
      <c r="L143" s="120">
        <v>0</v>
      </c>
      <c r="M143" s="120">
        <f>J138</f>
        <v>457085.59680000006</v>
      </c>
      <c r="N143" s="120">
        <f>H138</f>
        <v>152361865.60000002</v>
      </c>
      <c r="O143" s="120">
        <v>0</v>
      </c>
      <c r="P143" s="120">
        <f>-J138</f>
        <v>-457085.59680000006</v>
      </c>
      <c r="Q143" s="119">
        <f>H139</f>
        <v>76180932.800000012</v>
      </c>
      <c r="R143" s="99"/>
      <c r="S143" s="120">
        <v>0</v>
      </c>
      <c r="T143" s="120">
        <v>0</v>
      </c>
      <c r="U143" s="120">
        <v>1</v>
      </c>
      <c r="V143" s="120">
        <v>0</v>
      </c>
      <c r="W143" s="120">
        <v>0</v>
      </c>
      <c r="X143" s="119">
        <v>0</v>
      </c>
      <c r="Y143" s="99"/>
      <c r="Z143" s="120">
        <f>L143*S141+M143*S142+N143*S143+O143*S144+P143*S145+Q143*S146</f>
        <v>-457085.59680000006</v>
      </c>
      <c r="AA143" s="120">
        <f>L143*T141+M143*T142+N143*T143+O143*T144+P143*T145+Q143*T146</f>
        <v>0</v>
      </c>
      <c r="AB143" s="120">
        <f>L143*U141+M143*U142+N143*U143+O143*U144+P143*U145+Q143*U146</f>
        <v>152361865.60000002</v>
      </c>
      <c r="AC143" s="120">
        <f>L143*V141+M143*V142+N143*V143+O143*V144+P143*V145+Q143*V146</f>
        <v>457085.59680000006</v>
      </c>
      <c r="AD143" s="120">
        <f>L143*W141+M143*W142+N143*W143+O143*W144+P143*W145+Q143*W146</f>
        <v>0</v>
      </c>
      <c r="AE143" s="119">
        <f>L143*X141+M143*X142+N143*X143+O143*X144+P143*X145+Q143*X146</f>
        <v>76180932.800000012</v>
      </c>
      <c r="AF143" s="99"/>
      <c r="AG143" s="121">
        <v>0</v>
      </c>
      <c r="AH143" s="121"/>
      <c r="AI143" s="121">
        <f>Z143*AG141+AA143*AG142+AB143*AG143+AC143*AG144+AD143*AG145+AE143*AG146</f>
        <v>14196094.892065959</v>
      </c>
      <c r="AJ143" s="173"/>
      <c r="AX143">
        <f t="shared" si="53"/>
        <v>3</v>
      </c>
      <c r="AY143">
        <f>AX143*1000+AY140</f>
        <v>3001</v>
      </c>
      <c r="AZ143">
        <f>AX143*1000+AZ140</f>
        <v>3002</v>
      </c>
      <c r="BA143">
        <f>AX143*1000+BA140</f>
        <v>3003</v>
      </c>
      <c r="BB143">
        <f>AX143*1000+BB140</f>
        <v>3007</v>
      </c>
      <c r="BC143">
        <f>AX143*1000+BC140</f>
        <v>3008</v>
      </c>
      <c r="BD143">
        <f>AX143*1000+BD140</f>
        <v>3009</v>
      </c>
    </row>
    <row r="144" spans="1:56" ht="15.75" x14ac:dyDescent="0.25">
      <c r="A144" s="179">
        <f>-(F139*B138^2+J139*B139^2)</f>
        <v>-1828.3423872000003</v>
      </c>
      <c r="B144" s="112">
        <f>-(F139-J139)*B138*B139</f>
        <v>0</v>
      </c>
      <c r="C144" s="112">
        <f>J138*B139</f>
        <v>457085.59680000006</v>
      </c>
      <c r="D144" s="122">
        <f>(F139*B138^2+J139*B139^2)</f>
        <v>1828.3423872000003</v>
      </c>
      <c r="E144" s="112">
        <f>(F139-J139)*B138*B139</f>
        <v>0</v>
      </c>
      <c r="F144" s="112">
        <f>J138*B139</f>
        <v>457085.59680000006</v>
      </c>
      <c r="G144" s="112">
        <v>7</v>
      </c>
      <c r="H144" s="113"/>
      <c r="I144" s="113"/>
      <c r="J144" s="117"/>
      <c r="K144" s="99"/>
      <c r="L144" s="120">
        <f>-F139</f>
        <v>-136920</v>
      </c>
      <c r="M144" s="120">
        <v>0</v>
      </c>
      <c r="N144" s="120">
        <v>0</v>
      </c>
      <c r="O144" s="120">
        <f>F139</f>
        <v>136920</v>
      </c>
      <c r="P144" s="120">
        <v>0</v>
      </c>
      <c r="Q144" s="119">
        <v>0</v>
      </c>
      <c r="R144" s="123" t="s">
        <v>126</v>
      </c>
      <c r="S144" s="120">
        <v>0</v>
      </c>
      <c r="T144" s="120">
        <v>0</v>
      </c>
      <c r="U144" s="120">
        <v>0</v>
      </c>
      <c r="V144" s="120">
        <f>B138</f>
        <v>0</v>
      </c>
      <c r="W144" s="120">
        <f>B139</f>
        <v>1</v>
      </c>
      <c r="X144" s="119">
        <v>0</v>
      </c>
      <c r="Y144" s="124" t="s">
        <v>58</v>
      </c>
      <c r="Z144" s="120">
        <f>L144*S141+M144*S142+N144*S143+O144*S144+P144*S145+Q144*S146</f>
        <v>0</v>
      </c>
      <c r="AA144" s="120">
        <f>L144*T141+M144*T142+N144*T143+O144*T144+P144*T145+Q144*T146</f>
        <v>-136920</v>
      </c>
      <c r="AB144" s="120">
        <f>L144*U141+M144*U142+N144*U143+O144*U144+P144*U145+Q144*U146</f>
        <v>0</v>
      </c>
      <c r="AC144" s="120">
        <f>L144*V141+M144*V142+N144*V143+O144*V144+P144*V145+Q144*V146</f>
        <v>0</v>
      </c>
      <c r="AD144" s="120">
        <f>L144*W141+M144*W142+N144*W143+O144*W144+P144*W145+Q144*W146</f>
        <v>136920</v>
      </c>
      <c r="AE144" s="119">
        <f>L144*X141+M144*X142+N144*X143+O144*X144+P144*X145+Q144*X146</f>
        <v>0</v>
      </c>
      <c r="AF144" s="123" t="s">
        <v>126</v>
      </c>
      <c r="AG144" s="166">
        <f>O5</f>
        <v>49.418062687460889</v>
      </c>
      <c r="AH144" s="123" t="s">
        <v>58</v>
      </c>
      <c r="AI144" s="121">
        <f>Z144*AG141+AA144*AG142+AB144*AG143+AC144*AG144+AD144*AG145+AE144*AG146</f>
        <v>9673.1751798901405</v>
      </c>
      <c r="AJ144" s="173"/>
      <c r="AX144">
        <f t="shared" si="53"/>
        <v>7</v>
      </c>
      <c r="AY144">
        <f>AX144*1000+AY140</f>
        <v>7001</v>
      </c>
      <c r="AZ144">
        <f>AX144*1000+AZ140</f>
        <v>7002</v>
      </c>
      <c r="BA144">
        <f>AX144*1000+BA140</f>
        <v>7003</v>
      </c>
      <c r="BB144">
        <f>AX144*1000+BB140</f>
        <v>7007</v>
      </c>
      <c r="BC144">
        <f>AX144*1000+BC140</f>
        <v>7008</v>
      </c>
      <c r="BD144">
        <f>AX144*1000+BD140</f>
        <v>7009</v>
      </c>
    </row>
    <row r="145" spans="1:56" x14ac:dyDescent="0.25">
      <c r="A145" s="179">
        <f>-(F139-J139)*B138*B139</f>
        <v>0</v>
      </c>
      <c r="B145" s="112">
        <f>-(F139*B139^2+J139*B138^2)</f>
        <v>-136920</v>
      </c>
      <c r="C145" s="112">
        <f>-J138*B138</f>
        <v>0</v>
      </c>
      <c r="D145" s="112">
        <f>(F139-J139)*B138*B139</f>
        <v>0</v>
      </c>
      <c r="E145" s="122">
        <f>(F139*B139^2+J139*B138^2)</f>
        <v>136920</v>
      </c>
      <c r="F145" s="112">
        <f>-J138*B138</f>
        <v>0</v>
      </c>
      <c r="G145" s="112">
        <v>8</v>
      </c>
      <c r="H145" s="113"/>
      <c r="I145" s="113"/>
      <c r="J145" s="117"/>
      <c r="K145" s="99"/>
      <c r="L145" s="120">
        <v>0</v>
      </c>
      <c r="M145" s="120">
        <f>-J139</f>
        <v>-1828.3423872000003</v>
      </c>
      <c r="N145" s="120">
        <f>-J138</f>
        <v>-457085.59680000006</v>
      </c>
      <c r="O145" s="120">
        <v>0</v>
      </c>
      <c r="P145" s="120">
        <f>J139</f>
        <v>1828.3423872000003</v>
      </c>
      <c r="Q145" s="119">
        <f>-J138</f>
        <v>-457085.59680000006</v>
      </c>
      <c r="R145" s="99"/>
      <c r="S145" s="120">
        <v>0</v>
      </c>
      <c r="T145" s="120">
        <v>0</v>
      </c>
      <c r="U145" s="120">
        <v>0</v>
      </c>
      <c r="V145" s="120">
        <f>-B139</f>
        <v>-1</v>
      </c>
      <c r="W145" s="120">
        <f>B138</f>
        <v>0</v>
      </c>
      <c r="X145" s="119">
        <v>0</v>
      </c>
      <c r="Y145" s="99"/>
      <c r="Z145" s="120">
        <f>L145*S141+M145*S142+N145*S143+O145*S144+P145*S145+Q145*S146</f>
        <v>1828.3423872000003</v>
      </c>
      <c r="AA145" s="120">
        <f>L145*T141+M145*T142+N145*T143+O145*T144+P145*T145+Q145*T146</f>
        <v>0</v>
      </c>
      <c r="AB145" s="120">
        <f>L145*U141+M145*U142+N145*U143+O145*U144+P145*U145+Q145*U146</f>
        <v>-457085.59680000006</v>
      </c>
      <c r="AC145" s="120">
        <f>L145*V141+M145*V142+N145*V143+O145*V144+P145*V145+Q145*V146</f>
        <v>-1828.3423872000003</v>
      </c>
      <c r="AD145" s="120">
        <f>L145*W141+M145*W142+N145*W143+O145*W144+P145*W145+Q145*W146</f>
        <v>0</v>
      </c>
      <c r="AE145" s="119">
        <f>L145*X141+M145*X142+N145*X143+O145*X144+P145*X145+Q145*X146</f>
        <v>-457085.59680000006</v>
      </c>
      <c r="AF145" s="99"/>
      <c r="AG145" s="166">
        <f>O6</f>
        <v>7.0648372625548794E-2</v>
      </c>
      <c r="AH145" s="121"/>
      <c r="AI145" s="121">
        <f>Z145*AG141+AA145*AG142+AB145*AG143+AC145*AG144+AD145*AG145+AE145*AG146</f>
        <v>-40000.000000000015</v>
      </c>
      <c r="AJ145" s="173"/>
      <c r="AX145">
        <f t="shared" si="53"/>
        <v>8</v>
      </c>
      <c r="AY145">
        <f>AX145*1000+AY140</f>
        <v>8001</v>
      </c>
      <c r="AZ145">
        <f>AX145*1000+AZ140</f>
        <v>8002</v>
      </c>
      <c r="BA145">
        <f>AX145*1000+BA140</f>
        <v>8003</v>
      </c>
      <c r="BB145">
        <f>AX145*1000+BB140</f>
        <v>8007</v>
      </c>
      <c r="BC145">
        <f>AX145*1000+BC140</f>
        <v>8008</v>
      </c>
      <c r="BD145">
        <f>AX145*1000+BD140</f>
        <v>8009</v>
      </c>
    </row>
    <row r="146" spans="1:56" ht="15.75" thickBot="1" x14ac:dyDescent="0.3">
      <c r="A146" s="181">
        <f>-J138*B139</f>
        <v>-457085.59680000006</v>
      </c>
      <c r="B146" s="125">
        <f>J138*B138</f>
        <v>0</v>
      </c>
      <c r="C146" s="125">
        <f>H139</f>
        <v>76180932.800000012</v>
      </c>
      <c r="D146" s="125">
        <f>J138*B139</f>
        <v>457085.59680000006</v>
      </c>
      <c r="E146" s="125">
        <f>-J138*B138</f>
        <v>0</v>
      </c>
      <c r="F146" s="126">
        <f>H138</f>
        <v>152361865.60000002</v>
      </c>
      <c r="G146" s="125">
        <v>9</v>
      </c>
      <c r="H146" s="127"/>
      <c r="I146" s="127"/>
      <c r="J146" s="128"/>
      <c r="K146" s="99"/>
      <c r="L146" s="120">
        <v>0</v>
      </c>
      <c r="M146" s="120">
        <f>J138</f>
        <v>457085.59680000006</v>
      </c>
      <c r="N146" s="120">
        <f>H139</f>
        <v>76180932.800000012</v>
      </c>
      <c r="O146" s="120">
        <v>0</v>
      </c>
      <c r="P146" s="120">
        <f>-J138</f>
        <v>-457085.59680000006</v>
      </c>
      <c r="Q146" s="119">
        <f>H138</f>
        <v>152361865.60000002</v>
      </c>
      <c r="R146" s="99"/>
      <c r="S146" s="120">
        <v>0</v>
      </c>
      <c r="T146" s="120">
        <v>0</v>
      </c>
      <c r="U146" s="120">
        <v>0</v>
      </c>
      <c r="V146" s="120">
        <v>0</v>
      </c>
      <c r="W146" s="120">
        <v>0</v>
      </c>
      <c r="X146" s="119">
        <v>1</v>
      </c>
      <c r="Y146" s="99"/>
      <c r="Z146" s="120">
        <f>L146*S141+M146*S142+N146*S143+O146*S144+P146*S145+Q146*S146</f>
        <v>-457085.59680000006</v>
      </c>
      <c r="AA146" s="120">
        <f>L146*T141+M146*T142+N146*T143+O146*T144+P146*T145+Q146*T146</f>
        <v>0</v>
      </c>
      <c r="AB146" s="120">
        <f>L146*U141+M146*U142+N146*U143+O146*U144+P146*U145+Q146*U146</f>
        <v>76180932.800000012</v>
      </c>
      <c r="AC146" s="120">
        <f>L146*V141+M146*V142+N146*V143+O146*V144+P146*V145+Q146*V146</f>
        <v>457085.59680000006</v>
      </c>
      <c r="AD146" s="120">
        <f>L146*W141+M146*W142+N146*W143+O146*W144+P146*W145+Q146*W146</f>
        <v>0</v>
      </c>
      <c r="AE146" s="119">
        <f>L146*X141+M146*X142+N146*X143+O146*X144+P146*X145+Q146*X146</f>
        <v>152361865.60000002</v>
      </c>
      <c r="AF146" s="99"/>
      <c r="AG146" s="121">
        <f>O7</f>
        <v>-0.11016128938935642</v>
      </c>
      <c r="AH146" s="121"/>
      <c r="AI146" s="121">
        <f>Z146*AG141+AA146*AG142+AB146*AG143+AC146*AG144+AD146*AG145+AE146*AG146</f>
        <v>5803905.1079340428</v>
      </c>
      <c r="AJ146" s="173"/>
      <c r="AX146">
        <f t="shared" si="53"/>
        <v>9</v>
      </c>
      <c r="AY146">
        <f>AX146*1000+AY140</f>
        <v>9001</v>
      </c>
      <c r="AZ146">
        <f>AX146*1000+AZ140</f>
        <v>9002</v>
      </c>
      <c r="BA146">
        <f>AX146*1000+BA140</f>
        <v>9003</v>
      </c>
      <c r="BB146">
        <f>AX146*1000+BB140</f>
        <v>9007</v>
      </c>
      <c r="BC146">
        <f>AX146*1000+BC140</f>
        <v>9008</v>
      </c>
      <c r="BD146">
        <f>AX146*1000+BD140</f>
        <v>9009</v>
      </c>
    </row>
    <row r="147" spans="1:56" x14ac:dyDescent="0.25">
      <c r="A147" s="177" t="s">
        <v>118</v>
      </c>
      <c r="B147" s="108">
        <f>(D135-B135)/F135</f>
        <v>0.94868329805051377</v>
      </c>
      <c r="C147" s="109" t="s">
        <v>119</v>
      </c>
      <c r="D147" s="108">
        <f>$B$7+0.5*$B$10</f>
        <v>18.535</v>
      </c>
      <c r="E147" s="109" t="s">
        <v>30</v>
      </c>
      <c r="F147" s="110">
        <f>2*((($B$6*($B$7)^3)/12)+($B$6*$B$7)*($B$10+2*$B$7-0.5*$B$7-D147)^2)+($B$8*($B$10)^3)/12</f>
        <v>5298.9826476250009</v>
      </c>
      <c r="G147" s="109" t="s">
        <v>120</v>
      </c>
      <c r="H147" s="150">
        <f>4*$B$14*F147/F135</f>
        <v>70378788.682458609</v>
      </c>
      <c r="I147" s="109" t="s">
        <v>121</v>
      </c>
      <c r="J147" s="111">
        <f>6*$B$14*F147/(F135^2)</f>
        <v>166917.95340018751</v>
      </c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173"/>
    </row>
    <row r="148" spans="1:56" x14ac:dyDescent="0.25">
      <c r="A148" s="178" t="s">
        <v>122</v>
      </c>
      <c r="B148" s="112">
        <f>(E135-C135)/F135</f>
        <v>-0.31622776601683789</v>
      </c>
      <c r="C148" s="113" t="s">
        <v>13</v>
      </c>
      <c r="D148" s="114">
        <f>(2*$B$6*$B$7)+($B$10*$B$8)</f>
        <v>28.035000000000004</v>
      </c>
      <c r="E148" s="113" t="s">
        <v>123</v>
      </c>
      <c r="F148" s="151">
        <f>$B$14*D148/F135</f>
        <v>93087.176912961542</v>
      </c>
      <c r="G148" s="113" t="s">
        <v>124</v>
      </c>
      <c r="H148" s="151">
        <f>2*$B$14*F147/F135</f>
        <v>35189394.341229305</v>
      </c>
      <c r="I148" s="113" t="s">
        <v>125</v>
      </c>
      <c r="J148" s="115">
        <f>12*$B$14*F147/(F135^3)</f>
        <v>527.84091511843951</v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173"/>
    </row>
    <row r="149" spans="1:56" x14ac:dyDescent="0.25">
      <c r="A149" s="179">
        <f>G150</f>
        <v>7</v>
      </c>
      <c r="B149" s="112">
        <f>G151</f>
        <v>8</v>
      </c>
      <c r="C149" s="112">
        <f>G152</f>
        <v>9</v>
      </c>
      <c r="D149" s="112">
        <f>G153</f>
        <v>10</v>
      </c>
      <c r="E149" s="112">
        <f>G154</f>
        <v>11</v>
      </c>
      <c r="F149" s="112">
        <f>G155</f>
        <v>13</v>
      </c>
      <c r="G149" s="113"/>
      <c r="H149" s="113"/>
      <c r="I149" s="113"/>
      <c r="J149" s="116">
        <v>2</v>
      </c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173"/>
      <c r="AY149">
        <f>AX150</f>
        <v>7</v>
      </c>
      <c r="AZ149">
        <f>AX151</f>
        <v>8</v>
      </c>
      <c r="BA149">
        <f>AX152</f>
        <v>9</v>
      </c>
      <c r="BB149">
        <f>AX153</f>
        <v>10</v>
      </c>
      <c r="BC149">
        <f>AX154</f>
        <v>11</v>
      </c>
      <c r="BD149">
        <f>AX155</f>
        <v>13</v>
      </c>
    </row>
    <row r="150" spans="1:56" x14ac:dyDescent="0.25">
      <c r="A150" s="180">
        <f>(F148*B147^2+J148*B148^2)</f>
        <v>83831.243313177227</v>
      </c>
      <c r="B150" s="112">
        <f>(F148-J148)*B147*B148</f>
        <v>-27767.800799352925</v>
      </c>
      <c r="C150" s="112">
        <f>-J147*B148</f>
        <v>52784.091511843944</v>
      </c>
      <c r="D150" s="112">
        <f>-(F148*B147^2+J148*B148^2)</f>
        <v>-83831.243313177227</v>
      </c>
      <c r="E150" s="112">
        <f>-(F148-J148)*B147*B148</f>
        <v>27767.800799352925</v>
      </c>
      <c r="F150" s="112">
        <f>-J147*B148</f>
        <v>52784.091511843944</v>
      </c>
      <c r="G150" s="112">
        <v>7</v>
      </c>
      <c r="H150" s="113"/>
      <c r="I150" s="113"/>
      <c r="J150" s="117"/>
      <c r="K150" s="99"/>
      <c r="L150" s="120">
        <f>F148</f>
        <v>93087.176912961542</v>
      </c>
      <c r="M150" s="120">
        <v>0</v>
      </c>
      <c r="N150" s="120">
        <v>0</v>
      </c>
      <c r="O150" s="120">
        <f>-F148</f>
        <v>-93087.176912961542</v>
      </c>
      <c r="P150" s="120">
        <v>0</v>
      </c>
      <c r="Q150" s="119">
        <v>0</v>
      </c>
      <c r="R150" s="99"/>
      <c r="S150" s="120">
        <f>B147</f>
        <v>0.94868329805051377</v>
      </c>
      <c r="T150" s="120">
        <f>B148</f>
        <v>-0.31622776601683789</v>
      </c>
      <c r="U150" s="120">
        <v>0</v>
      </c>
      <c r="V150" s="120">
        <v>0</v>
      </c>
      <c r="W150" s="120">
        <v>0</v>
      </c>
      <c r="X150" s="119">
        <v>0</v>
      </c>
      <c r="Y150" s="99"/>
      <c r="Z150" s="120">
        <f>L150*S150+M150*S151+N150*S152+O150*S153+P150*S154+Q150*S155</f>
        <v>88310.25</v>
      </c>
      <c r="AA150" s="120">
        <f>L150*T150+M150*T151+N150*T152+O150*T153+P150*T154+Q150*T155</f>
        <v>-29436.749999999996</v>
      </c>
      <c r="AB150" s="120">
        <f>L150*U150+M150*U151+N150*U152+O150*U153+P150*U154+Q150*U155</f>
        <v>0</v>
      </c>
      <c r="AC150" s="120">
        <f>L150*V150+M150*V151+N150*V152+O150*V153+P150*V154+Q150*V155</f>
        <v>-88310.25</v>
      </c>
      <c r="AD150" s="120">
        <f>L150*W150+M150*W151+N150*W152+O150*W153+P150*W154+Q150*W155</f>
        <v>29436.749999999996</v>
      </c>
      <c r="AE150" s="119">
        <f>L150*X150+M150*X151+N150*X152+O150*X153+P150*X154+Q150*X155</f>
        <v>0</v>
      </c>
      <c r="AF150" s="99"/>
      <c r="AG150" s="166">
        <f>O5</f>
        <v>49.418062687460889</v>
      </c>
      <c r="AH150" s="121"/>
      <c r="AI150" s="121">
        <f>Z150*AG150+AA150*AG151+AB150*AG152+AC150*AG153+AD150*AG154+AE150*AG155</f>
        <v>3058.9265774273363</v>
      </c>
      <c r="AJ150" s="173"/>
      <c r="AX150">
        <f t="shared" ref="AX150:AX155" si="54">G150</f>
        <v>7</v>
      </c>
      <c r="AY150">
        <f>AX150*1000+AY149</f>
        <v>7007</v>
      </c>
      <c r="AZ150">
        <f>AX150*1000+AZ149</f>
        <v>7008</v>
      </c>
      <c r="BA150">
        <f>AX150*1000+BA149</f>
        <v>7009</v>
      </c>
      <c r="BB150">
        <f>AX150*1000+BB149</f>
        <v>7010</v>
      </c>
      <c r="BC150">
        <f>AX150*1000+BC149</f>
        <v>7011</v>
      </c>
      <c r="BD150">
        <f>AX150*1000+BD149</f>
        <v>7013</v>
      </c>
    </row>
    <row r="151" spans="1:56" x14ac:dyDescent="0.25">
      <c r="A151" s="179">
        <f>(F148-J148)*B147*B148</f>
        <v>-27767.800799352925</v>
      </c>
      <c r="B151" s="122">
        <f>(F148*B148^2+J148*B147^2)</f>
        <v>9783.7745149027469</v>
      </c>
      <c r="C151" s="112">
        <f>J147*B147</f>
        <v>158352.27453553185</v>
      </c>
      <c r="D151" s="112">
        <f>-(F148-J148)*B147*B148</f>
        <v>27767.800799352925</v>
      </c>
      <c r="E151" s="112">
        <f>-(F148*B148^2+J148*B147^2)</f>
        <v>-9783.7745149027469</v>
      </c>
      <c r="F151" s="112">
        <f>J147*B147</f>
        <v>158352.27453553185</v>
      </c>
      <c r="G151" s="112">
        <v>8</v>
      </c>
      <c r="H151" s="113"/>
      <c r="I151" s="113"/>
      <c r="J151" s="117"/>
      <c r="K151" s="99"/>
      <c r="L151" s="120">
        <v>0</v>
      </c>
      <c r="M151" s="120">
        <f>J148</f>
        <v>527.84091511843951</v>
      </c>
      <c r="N151" s="120">
        <f>J147</f>
        <v>166917.95340018751</v>
      </c>
      <c r="O151" s="120">
        <v>0</v>
      </c>
      <c r="P151" s="120">
        <f>-J148</f>
        <v>-527.84091511843951</v>
      </c>
      <c r="Q151" s="119">
        <f>J147</f>
        <v>166917.95340018751</v>
      </c>
      <c r="R151" s="99"/>
      <c r="S151" s="120">
        <f>-B148</f>
        <v>0.31622776601683789</v>
      </c>
      <c r="T151" s="120">
        <f>B147</f>
        <v>0.94868329805051377</v>
      </c>
      <c r="U151" s="120">
        <v>0</v>
      </c>
      <c r="V151" s="120">
        <v>0</v>
      </c>
      <c r="W151" s="120">
        <v>0</v>
      </c>
      <c r="X151" s="119">
        <v>0</v>
      </c>
      <c r="Y151" s="99"/>
      <c r="Z151" s="120">
        <f>L151*S150+M151*S151+N151*S152+O151*S153+P151*S154+Q151*S155</f>
        <v>166.91795340018749</v>
      </c>
      <c r="AA151" s="120">
        <f>L151*T150+M151*T151+N151*T152+O151*T153+P151*T154+Q151*T155</f>
        <v>500.75386020056249</v>
      </c>
      <c r="AB151" s="120">
        <f>L151*U150+M151*U151+N151*U152+O151*U153+P151*U154+Q151*U155</f>
        <v>166917.95340018751</v>
      </c>
      <c r="AC151" s="120">
        <f>L151*V150+M151*V151+N151*V152+O151*V153+P151*V154+Q151*V155</f>
        <v>-166.91795340018749</v>
      </c>
      <c r="AD151" s="120">
        <f>L151*W150+M151*W151+N151*W152+O151*W153+P151*W154+Q151*W155</f>
        <v>-500.75386020056249</v>
      </c>
      <c r="AE151" s="119">
        <f>L151*X150+M151*X151+N151*X152+O151*X153+P151*X154+Q151*X155</f>
        <v>166917.95340018751</v>
      </c>
      <c r="AF151" s="99"/>
      <c r="AG151" s="166">
        <f>O6</f>
        <v>7.0648372625548794E-2</v>
      </c>
      <c r="AH151" s="121"/>
      <c r="AI151" s="121">
        <f>Z151*AG150+AA151*AG151+AB151*AG152+AC151*AG153+AD151*AG154+AE151*AG155</f>
        <v>-9176.7797322784772</v>
      </c>
      <c r="AJ151" s="173"/>
      <c r="AX151">
        <f t="shared" si="54"/>
        <v>8</v>
      </c>
      <c r="AY151">
        <f>AX151*1000+AY149</f>
        <v>8007</v>
      </c>
      <c r="AZ151">
        <f>AX151*1000+AZ149</f>
        <v>8008</v>
      </c>
      <c r="BA151">
        <f>AX151*1000+BA149</f>
        <v>8009</v>
      </c>
      <c r="BB151">
        <f>AX151*1000+BB149</f>
        <v>8010</v>
      </c>
      <c r="BC151">
        <f>AX151*1000+BC149</f>
        <v>8011</v>
      </c>
      <c r="BD151">
        <f>AX151*1000+BD149</f>
        <v>8013</v>
      </c>
    </row>
    <row r="152" spans="1:56" x14ac:dyDescent="0.25">
      <c r="A152" s="179">
        <f>-J147*B148</f>
        <v>52784.091511843944</v>
      </c>
      <c r="B152" s="112">
        <f>J147*B147</f>
        <v>158352.27453553185</v>
      </c>
      <c r="C152" s="122">
        <f>H147</f>
        <v>70378788.682458609</v>
      </c>
      <c r="D152" s="112">
        <f>J147*B148</f>
        <v>-52784.091511843944</v>
      </c>
      <c r="E152" s="112">
        <f>-J147*B147</f>
        <v>-158352.27453553185</v>
      </c>
      <c r="F152" s="112">
        <f>H148</f>
        <v>35189394.341229305</v>
      </c>
      <c r="G152" s="112">
        <v>9</v>
      </c>
      <c r="H152" s="113"/>
      <c r="I152" s="113"/>
      <c r="J152" s="117"/>
      <c r="K152" s="99"/>
      <c r="L152" s="120">
        <v>0</v>
      </c>
      <c r="M152" s="120">
        <f>J147</f>
        <v>166917.95340018751</v>
      </c>
      <c r="N152" s="120">
        <f>H147</f>
        <v>70378788.682458609</v>
      </c>
      <c r="O152" s="120">
        <v>0</v>
      </c>
      <c r="P152" s="120">
        <f>-J147</f>
        <v>-166917.95340018751</v>
      </c>
      <c r="Q152" s="119">
        <f>H148</f>
        <v>35189394.341229305</v>
      </c>
      <c r="R152" s="99"/>
      <c r="S152" s="120">
        <v>0</v>
      </c>
      <c r="T152" s="120">
        <v>0</v>
      </c>
      <c r="U152" s="120">
        <v>1</v>
      </c>
      <c r="V152" s="120">
        <v>0</v>
      </c>
      <c r="W152" s="120">
        <v>0</v>
      </c>
      <c r="X152" s="119">
        <v>0</v>
      </c>
      <c r="Y152" s="99"/>
      <c r="Z152" s="120">
        <f>L152*S150+M152*S151+N152*S152+O152*S153+P152*S154+Q152*S155</f>
        <v>52784.091511843944</v>
      </c>
      <c r="AA152" s="120">
        <f>L152*T150+M152*T151+N152*T152+O152*T153+P152*T154+Q152*T155</f>
        <v>158352.27453553185</v>
      </c>
      <c r="AB152" s="120">
        <f>L152*U150+M152*U151+N152*U152+O152*U153+P152*U154+Q152*U155</f>
        <v>70378788.682458609</v>
      </c>
      <c r="AC152" s="120">
        <f>L152*V150+M152*V151+N152*V152+O152*V153+P152*V154+Q152*V155</f>
        <v>-52784.091511843944</v>
      </c>
      <c r="AD152" s="120">
        <f>L152*W150+M152*W151+N152*W152+O152*W153+P152*W154+Q152*W155</f>
        <v>-158352.27453553185</v>
      </c>
      <c r="AE152" s="119">
        <f>L152*X150+M152*X151+N152*X152+O152*X153+P152*X154+Q152*X155</f>
        <v>35189394.341229305</v>
      </c>
      <c r="AF152" s="99"/>
      <c r="AG152" s="121">
        <f>O7</f>
        <v>-0.11016128938935642</v>
      </c>
      <c r="AH152" s="121"/>
      <c r="AI152" s="166">
        <f>Z152*AG150+AA152*AG151+AB152*AG152+AC152*AG153+AD152*AG154+AE152*AG155</f>
        <v>-5803905.1079340382</v>
      </c>
      <c r="AJ152" s="173"/>
      <c r="AX152">
        <f t="shared" si="54"/>
        <v>9</v>
      </c>
      <c r="AY152">
        <f>AX152*1000+AY149</f>
        <v>9007</v>
      </c>
      <c r="AZ152">
        <f>AX152*1000+AZ149</f>
        <v>9008</v>
      </c>
      <c r="BA152">
        <f>AX152*1000+BA149</f>
        <v>9009</v>
      </c>
      <c r="BB152">
        <f>AX152*1000+BB149</f>
        <v>9010</v>
      </c>
      <c r="BC152">
        <f>AX152*1000+BC149</f>
        <v>9011</v>
      </c>
      <c r="BD152">
        <f>AX152*1000+BD149</f>
        <v>9013</v>
      </c>
    </row>
    <row r="153" spans="1:56" ht="15.75" x14ac:dyDescent="0.25">
      <c r="A153" s="179">
        <f>-(F148*B147^2+J148*B148^2)</f>
        <v>-83831.243313177227</v>
      </c>
      <c r="B153" s="112">
        <f>-(F148-J148)*B147*B148</f>
        <v>27767.800799352925</v>
      </c>
      <c r="C153" s="112">
        <f>J147*B148</f>
        <v>-52784.091511843944</v>
      </c>
      <c r="D153" s="122">
        <f>(F148*B147^2+J148*B148^2)</f>
        <v>83831.243313177227</v>
      </c>
      <c r="E153" s="112">
        <f>(F148-J148)*B147*B148</f>
        <v>-27767.800799352925</v>
      </c>
      <c r="F153" s="112">
        <f>J147*B148</f>
        <v>-52784.091511843944</v>
      </c>
      <c r="G153" s="112">
        <v>10</v>
      </c>
      <c r="H153" s="113"/>
      <c r="I153" s="113"/>
      <c r="J153" s="117"/>
      <c r="K153" s="99"/>
      <c r="L153" s="120">
        <f>-F148</f>
        <v>-93087.176912961542</v>
      </c>
      <c r="M153" s="120">
        <v>0</v>
      </c>
      <c r="N153" s="120">
        <v>0</v>
      </c>
      <c r="O153" s="120">
        <f>F148</f>
        <v>93087.176912961542</v>
      </c>
      <c r="P153" s="120">
        <v>0</v>
      </c>
      <c r="Q153" s="119">
        <v>0</v>
      </c>
      <c r="R153" s="123" t="s">
        <v>126</v>
      </c>
      <c r="S153" s="120">
        <v>0</v>
      </c>
      <c r="T153" s="120">
        <v>0</v>
      </c>
      <c r="U153" s="120">
        <v>0</v>
      </c>
      <c r="V153" s="120">
        <f>B147</f>
        <v>0.94868329805051377</v>
      </c>
      <c r="W153" s="120">
        <f>B148</f>
        <v>-0.31622776601683789</v>
      </c>
      <c r="X153" s="119">
        <v>0</v>
      </c>
      <c r="Y153" s="124" t="s">
        <v>58</v>
      </c>
      <c r="Z153" s="120">
        <f>L153*S150+M153*S151+N153*S152+O153*S153+P153*S154+Q153*S155</f>
        <v>-88310.25</v>
      </c>
      <c r="AA153" s="120">
        <f>L153*T150+M153*T151+N153*T152+O153*T153+P153*T154+Q153*T155</f>
        <v>29436.749999999996</v>
      </c>
      <c r="AB153" s="120">
        <f>L153*U150+M153*U151+N153*U152+O153*U153+P153*U154+Q153*U155</f>
        <v>0</v>
      </c>
      <c r="AC153" s="120">
        <f>L153*V150+M153*V151+N153*V152+O153*V153+P153*V154+Q153*V155</f>
        <v>88310.25</v>
      </c>
      <c r="AD153" s="120">
        <f>L153*W150+M153*W151+N153*W152+O153*W153+P153*W154+Q153*W155</f>
        <v>-29436.749999999996</v>
      </c>
      <c r="AE153" s="119">
        <f>L153*X150+M153*X151+N153*X152+O153*X153+P153*X154+Q153*X155</f>
        <v>0</v>
      </c>
      <c r="AF153" s="123" t="s">
        <v>126</v>
      </c>
      <c r="AG153" s="121">
        <f>O8</f>
        <v>49.345745146178388</v>
      </c>
      <c r="AH153" s="123" t="s">
        <v>58</v>
      </c>
      <c r="AI153" s="121">
        <f>Z153*AG150+AA153*AG151+AB153*AG152+AC153*AG153+AD153*AG154+AE153*AG155</f>
        <v>-3058.9265774273363</v>
      </c>
      <c r="AJ153" s="173"/>
      <c r="AX153">
        <f t="shared" si="54"/>
        <v>10</v>
      </c>
      <c r="AY153">
        <f>AX153*1000+AY149</f>
        <v>10007</v>
      </c>
      <c r="AZ153">
        <f>AX153*1000+AZ149</f>
        <v>10008</v>
      </c>
      <c r="BA153">
        <f>AX153*1000+BA149</f>
        <v>10009</v>
      </c>
      <c r="BB153">
        <f>AX153*1000+BB149</f>
        <v>10010</v>
      </c>
      <c r="BC153">
        <f>AX153*1000+BC149</f>
        <v>10011</v>
      </c>
      <c r="BD153">
        <f>AX153*1000+BD149</f>
        <v>10013</v>
      </c>
    </row>
    <row r="154" spans="1:56" x14ac:dyDescent="0.25">
      <c r="A154" s="179">
        <f>-(F148-J148)*B147*B148</f>
        <v>27767.800799352925</v>
      </c>
      <c r="B154" s="112">
        <f>-(F148*B148^2+J148*B147^2)</f>
        <v>-9783.7745149027469</v>
      </c>
      <c r="C154" s="112">
        <f>-J147*B147</f>
        <v>-158352.27453553185</v>
      </c>
      <c r="D154" s="112">
        <f>(F148-J148)*B147*B148</f>
        <v>-27767.800799352925</v>
      </c>
      <c r="E154" s="122">
        <f>(F148*B148^2+J148*B147^2)</f>
        <v>9783.7745149027469</v>
      </c>
      <c r="F154" s="112">
        <f>-J147*B147</f>
        <v>-158352.27453553185</v>
      </c>
      <c r="G154" s="112">
        <v>11</v>
      </c>
      <c r="H154" s="113"/>
      <c r="I154" s="113"/>
      <c r="J154" s="117"/>
      <c r="K154" s="99"/>
      <c r="L154" s="120">
        <v>0</v>
      </c>
      <c r="M154" s="120">
        <f>-J148</f>
        <v>-527.84091511843951</v>
      </c>
      <c r="N154" s="120">
        <f>-J147</f>
        <v>-166917.95340018751</v>
      </c>
      <c r="O154" s="120">
        <v>0</v>
      </c>
      <c r="P154" s="120">
        <f>J148</f>
        <v>527.84091511843951</v>
      </c>
      <c r="Q154" s="119">
        <f>-J147</f>
        <v>-166917.95340018751</v>
      </c>
      <c r="R154" s="99"/>
      <c r="S154" s="120">
        <v>0</v>
      </c>
      <c r="T154" s="120">
        <v>0</v>
      </c>
      <c r="U154" s="120">
        <v>0</v>
      </c>
      <c r="V154" s="120">
        <f>-B148</f>
        <v>0.31622776601683789</v>
      </c>
      <c r="W154" s="120">
        <f>B147</f>
        <v>0.94868329805051377</v>
      </c>
      <c r="X154" s="119">
        <v>0</v>
      </c>
      <c r="Y154" s="99"/>
      <c r="Z154" s="120">
        <f>L154*S150+M154*S151+N154*S152+O154*S153+P154*S154+Q154*S155</f>
        <v>-166.91795340018749</v>
      </c>
      <c r="AA154" s="120">
        <f>L154*T150+M154*T151+N154*T152+O154*T153+P154*T154+Q154*T155</f>
        <v>-500.75386020056249</v>
      </c>
      <c r="AB154" s="120">
        <f>L154*U150+M154*U151+N154*U152+O154*U153+P154*U154+Q154*U155</f>
        <v>-166917.95340018751</v>
      </c>
      <c r="AC154" s="120">
        <f>L154*V150+M154*V151+N154*V152+O154*V153+P154*V154+Q154*V155</f>
        <v>166.91795340018749</v>
      </c>
      <c r="AD154" s="120">
        <f>L154*W150+M154*W151+N154*W152+O154*W153+P154*W154+Q154*W155</f>
        <v>500.75386020056249</v>
      </c>
      <c r="AE154" s="119">
        <f>L154*X150+M154*X151+N154*X152+O154*X153+P154*X154+Q154*X155</f>
        <v>-166917.95340018751</v>
      </c>
      <c r="AF154" s="99"/>
      <c r="AG154" s="121">
        <f>O9</f>
        <v>-4.2389023575329525E-2</v>
      </c>
      <c r="AH154" s="121"/>
      <c r="AI154" s="121">
        <f>Z154*AG150+AA154*AG151+AB154*AG152+AC154*AG153+AD154*AG154+AE154*AG155</f>
        <v>9176.7797322784772</v>
      </c>
      <c r="AJ154" s="173"/>
      <c r="AX154">
        <f t="shared" si="54"/>
        <v>11</v>
      </c>
      <c r="AY154">
        <f>AX154*1000+AY149</f>
        <v>11007</v>
      </c>
      <c r="AZ154">
        <f>AX154*1000+AZ149</f>
        <v>11008</v>
      </c>
      <c r="BA154">
        <f>AX154*1000+BA149</f>
        <v>11009</v>
      </c>
      <c r="BB154">
        <f>AX154*1000+BB149</f>
        <v>11010</v>
      </c>
      <c r="BC154">
        <f>AX154*1000+BC149</f>
        <v>11011</v>
      </c>
      <c r="BD154">
        <f>AX154*1000+BD149</f>
        <v>11013</v>
      </c>
    </row>
    <row r="155" spans="1:56" ht="15.75" thickBot="1" x14ac:dyDescent="0.3">
      <c r="A155" s="181">
        <f>-J147*B148</f>
        <v>52784.091511843944</v>
      </c>
      <c r="B155" s="125">
        <f>J147*B147</f>
        <v>158352.27453553185</v>
      </c>
      <c r="C155" s="125">
        <f>H148</f>
        <v>35189394.341229305</v>
      </c>
      <c r="D155" s="125">
        <f>J147*B148</f>
        <v>-52784.091511843944</v>
      </c>
      <c r="E155" s="125">
        <f>-J147*B147</f>
        <v>-158352.27453553185</v>
      </c>
      <c r="F155" s="126">
        <f>H147</f>
        <v>70378788.682458609</v>
      </c>
      <c r="G155" s="125">
        <v>13</v>
      </c>
      <c r="H155" s="127"/>
      <c r="I155" s="127"/>
      <c r="J155" s="128"/>
      <c r="K155" s="99"/>
      <c r="L155" s="120">
        <v>0</v>
      </c>
      <c r="M155" s="120">
        <f>J147</f>
        <v>166917.95340018751</v>
      </c>
      <c r="N155" s="120">
        <f>H148</f>
        <v>35189394.341229305</v>
      </c>
      <c r="O155" s="120">
        <v>0</v>
      </c>
      <c r="P155" s="120">
        <f>-J147</f>
        <v>-166917.95340018751</v>
      </c>
      <c r="Q155" s="119">
        <f>H147</f>
        <v>70378788.682458609</v>
      </c>
      <c r="R155" s="99"/>
      <c r="S155" s="120">
        <v>0</v>
      </c>
      <c r="T155" s="120">
        <v>0</v>
      </c>
      <c r="U155" s="120">
        <v>0</v>
      </c>
      <c r="V155" s="120">
        <v>0</v>
      </c>
      <c r="W155" s="120">
        <v>0</v>
      </c>
      <c r="X155" s="119">
        <v>1</v>
      </c>
      <c r="Y155" s="99"/>
      <c r="Z155" s="120">
        <f>L155*S150+M155*S151+N155*S152+O155*S153+P155*S154+Q155*S155</f>
        <v>52784.091511843944</v>
      </c>
      <c r="AA155" s="120">
        <f>L155*T150+M155*T151+N155*T152+O155*T153+P155*T154+Q155*T155</f>
        <v>158352.27453553185</v>
      </c>
      <c r="AB155" s="120">
        <f>L155*U150+M155*U151+N155*U152+O155*U153+P155*U154+Q155*U155</f>
        <v>35189394.341229305</v>
      </c>
      <c r="AC155" s="120">
        <f>L155*V150+M155*V151+N155*V152+O155*V153+P155*V154+Q155*V155</f>
        <v>-52784.091511843944</v>
      </c>
      <c r="AD155" s="120">
        <f>L155*W150+M155*W151+N155*W152+O155*W153+P155*W154+Q155*W155</f>
        <v>-158352.27453553185</v>
      </c>
      <c r="AE155" s="119">
        <f>L155*X150+M155*X151+N155*X152+O155*X153+P155*X154+Q155*X155</f>
        <v>70378788.682458609</v>
      </c>
      <c r="AF155" s="99"/>
      <c r="AG155" s="121">
        <f>O11</f>
        <v>5.4772072397264365E-2</v>
      </c>
      <c r="AH155" s="121"/>
      <c r="AI155" s="121">
        <f>Z155*AG150+AA155*AG151+AB155*AG152+AC155*AG153+AD155*AG154+AE155*AG155</f>
        <v>0</v>
      </c>
      <c r="AJ155" s="173"/>
      <c r="AX155">
        <f t="shared" si="54"/>
        <v>13</v>
      </c>
      <c r="AY155">
        <f>AX155*1000+AY149</f>
        <v>13007</v>
      </c>
      <c r="AZ155">
        <f>AX155*1000+AZ149</f>
        <v>13008</v>
      </c>
      <c r="BA155">
        <f>AX155*1000+BA149</f>
        <v>13009</v>
      </c>
      <c r="BB155">
        <f>AX155*1000+BB149</f>
        <v>13010</v>
      </c>
      <c r="BC155">
        <f>AX155*1000+BC149</f>
        <v>13011</v>
      </c>
      <c r="BD155">
        <f>AX155*1000+BD149</f>
        <v>13013</v>
      </c>
    </row>
    <row r="156" spans="1:56" x14ac:dyDescent="0.25">
      <c r="A156" s="177" t="s">
        <v>118</v>
      </c>
      <c r="B156" s="108">
        <f>(D136-B136)/F136</f>
        <v>0</v>
      </c>
      <c r="C156" s="109" t="s">
        <v>119</v>
      </c>
      <c r="D156" s="108">
        <f>$B$7+0.5*$B$11</f>
        <v>23.1</v>
      </c>
      <c r="E156" s="109" t="s">
        <v>30</v>
      </c>
      <c r="F156" s="110">
        <f>2*((($B$6*($B$7)^3)/12)+($B$6*$B$7)*($B$11+2*$B$7-0.5*$B$7-D156)^2)+($B$8*($B$11)^3)/12</f>
        <v>9069.1586666666681</v>
      </c>
      <c r="G156" s="109" t="s">
        <v>120</v>
      </c>
      <c r="H156" s="150">
        <f>4*$B$14*F156/F136</f>
        <v>253936442.66666672</v>
      </c>
      <c r="I156" s="109" t="s">
        <v>121</v>
      </c>
      <c r="J156" s="111">
        <f>6*$B$14*F156/(F136^2)</f>
        <v>1269682.2133333336</v>
      </c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173"/>
    </row>
    <row r="157" spans="1:56" x14ac:dyDescent="0.25">
      <c r="A157" s="178" t="s">
        <v>122</v>
      </c>
      <c r="B157" s="112">
        <f>(E136-C136)/F136</f>
        <v>-1</v>
      </c>
      <c r="C157" s="113" t="s">
        <v>13</v>
      </c>
      <c r="D157" s="114">
        <f>(2*$B$6*$B$7)+($B$11*$B$8)</f>
        <v>32.6</v>
      </c>
      <c r="E157" s="113" t="s">
        <v>123</v>
      </c>
      <c r="F157" s="151">
        <f>$B$14*D157/F136</f>
        <v>228200</v>
      </c>
      <c r="G157" s="113" t="s">
        <v>124</v>
      </c>
      <c r="H157" s="151">
        <f>2*$B$14*F156/F136</f>
        <v>126968221.33333336</v>
      </c>
      <c r="I157" s="113" t="s">
        <v>125</v>
      </c>
      <c r="J157" s="115">
        <f>12*$B$14*F156/(F136^3)</f>
        <v>8464.5480888888906</v>
      </c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173"/>
    </row>
    <row r="158" spans="1:56" x14ac:dyDescent="0.25">
      <c r="A158" s="179">
        <f>G159</f>
        <v>10</v>
      </c>
      <c r="B158" s="112">
        <f>G160</f>
        <v>11</v>
      </c>
      <c r="C158" s="112">
        <f>G161</f>
        <v>12</v>
      </c>
      <c r="D158" s="112">
        <f>G162</f>
        <v>4</v>
      </c>
      <c r="E158" s="112">
        <f>G163</f>
        <v>5</v>
      </c>
      <c r="F158" s="112">
        <f>G164</f>
        <v>6</v>
      </c>
      <c r="G158" s="113"/>
      <c r="H158" s="113"/>
      <c r="I158" s="113"/>
      <c r="J158" s="116">
        <v>3</v>
      </c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173"/>
      <c r="AY158">
        <f>AX159</f>
        <v>10</v>
      </c>
      <c r="AZ158">
        <f>AX160</f>
        <v>11</v>
      </c>
      <c r="BA158">
        <f>AX161</f>
        <v>12</v>
      </c>
      <c r="BB158">
        <f>AX162</f>
        <v>4</v>
      </c>
      <c r="BC158">
        <f>AX163</f>
        <v>5</v>
      </c>
      <c r="BD158">
        <f>AX164</f>
        <v>6</v>
      </c>
    </row>
    <row r="159" spans="1:56" x14ac:dyDescent="0.25">
      <c r="A159" s="180">
        <f>(F157*B156^2+J157*B157^2)</f>
        <v>8464.5480888888906</v>
      </c>
      <c r="B159" s="112">
        <f>(F157-J157)*B156*B157</f>
        <v>0</v>
      </c>
      <c r="C159" s="112">
        <f>-J156*B157</f>
        <v>1269682.2133333336</v>
      </c>
      <c r="D159" s="112">
        <f>-(F157*B156^2+J157*B157^2)</f>
        <v>-8464.5480888888906</v>
      </c>
      <c r="E159" s="112">
        <f>-(F157-J157)*B156*B157</f>
        <v>0</v>
      </c>
      <c r="F159" s="112">
        <f>-J156*B157</f>
        <v>1269682.2133333336</v>
      </c>
      <c r="G159" s="112">
        <v>10</v>
      </c>
      <c r="H159" s="113"/>
      <c r="I159" s="113"/>
      <c r="J159" s="117"/>
      <c r="K159" s="99"/>
      <c r="L159" s="120">
        <f>F157</f>
        <v>228200</v>
      </c>
      <c r="M159" s="120">
        <v>0</v>
      </c>
      <c r="N159" s="120">
        <v>0</v>
      </c>
      <c r="O159" s="120">
        <f>-F157</f>
        <v>-228200</v>
      </c>
      <c r="P159" s="120">
        <v>0</v>
      </c>
      <c r="Q159" s="119">
        <v>0</v>
      </c>
      <c r="R159" s="99"/>
      <c r="S159" s="120">
        <f>B156</f>
        <v>0</v>
      </c>
      <c r="T159" s="120">
        <f>B157</f>
        <v>-1</v>
      </c>
      <c r="U159" s="120">
        <v>0</v>
      </c>
      <c r="V159" s="120">
        <v>0</v>
      </c>
      <c r="W159" s="120">
        <v>0</v>
      </c>
      <c r="X159" s="119">
        <v>0</v>
      </c>
      <c r="Y159" s="99"/>
      <c r="Z159" s="120">
        <f>L159*S159+M159*S160+N159*S161+O159*S162+P159*S163+Q159*S164</f>
        <v>0</v>
      </c>
      <c r="AA159" s="120">
        <f>L159*T159+M159*T160+N159*T161+O159*T162+P159*T163+Q159*T164</f>
        <v>-228200</v>
      </c>
      <c r="AB159" s="120">
        <f>L159*U159+M159*U160+N159*U161+O159*U162+P159*U163+Q159*U164</f>
        <v>0</v>
      </c>
      <c r="AC159" s="120">
        <f>L159*V159+M159*V160+N159*V161+O159*V162+P159*V163+Q159*V164</f>
        <v>0</v>
      </c>
      <c r="AD159" s="120">
        <f>L159*W159+M159*W160+N159*W161+O159*W162+P159*W163+Q159*W164</f>
        <v>228200</v>
      </c>
      <c r="AE159" s="119">
        <f>L159*X159+M159*X160+N159*X161+O159*X162+P159*X163+Q159*X164</f>
        <v>0</v>
      </c>
      <c r="AF159" s="99"/>
      <c r="AG159" s="121">
        <f>O8</f>
        <v>49.345745146178388</v>
      </c>
      <c r="AH159" s="121"/>
      <c r="AI159" s="121">
        <f>Z159*AG159+AA159*AG160+AB159*AG161+AC159*AG162+AD159*AG163+AE159*AG164</f>
        <v>9673.1751798901969</v>
      </c>
      <c r="AJ159" s="173"/>
      <c r="AX159">
        <f t="shared" ref="AX159:AX164" si="55">G159</f>
        <v>10</v>
      </c>
      <c r="AY159">
        <f>AX159*1000+AY158</f>
        <v>10010</v>
      </c>
      <c r="AZ159">
        <f>AX159*1000+AZ158</f>
        <v>10011</v>
      </c>
      <c r="BA159">
        <f>AX159*1000+BA158</f>
        <v>10012</v>
      </c>
      <c r="BB159">
        <f>AX159*1000+BB158</f>
        <v>10004</v>
      </c>
      <c r="BC159">
        <f>AX159*1000+BC158</f>
        <v>10005</v>
      </c>
      <c r="BD159">
        <f>AX159*1000+BD158</f>
        <v>10006</v>
      </c>
    </row>
    <row r="160" spans="1:56" x14ac:dyDescent="0.25">
      <c r="A160" s="179">
        <f>(F157-J157)*B156*B157</f>
        <v>0</v>
      </c>
      <c r="B160" s="122">
        <f>(F157*B157^2+J157*B156^2)</f>
        <v>228200</v>
      </c>
      <c r="C160" s="112">
        <f>J156*B156</f>
        <v>0</v>
      </c>
      <c r="D160" s="112">
        <f>-(F157-J157)*B156*B157</f>
        <v>0</v>
      </c>
      <c r="E160" s="112">
        <f>-(F157*B157^2+J157*B156^2)</f>
        <v>-228200</v>
      </c>
      <c r="F160" s="112">
        <f>J156*B156</f>
        <v>0</v>
      </c>
      <c r="G160" s="112">
        <v>11</v>
      </c>
      <c r="H160" s="113"/>
      <c r="I160" s="113"/>
      <c r="J160" s="117"/>
      <c r="K160" s="99"/>
      <c r="L160" s="120">
        <v>0</v>
      </c>
      <c r="M160" s="120">
        <f>J157</f>
        <v>8464.5480888888906</v>
      </c>
      <c r="N160" s="120">
        <f>J156</f>
        <v>1269682.2133333336</v>
      </c>
      <c r="O160" s="120">
        <v>0</v>
      </c>
      <c r="P160" s="120">
        <f>-J157</f>
        <v>-8464.5480888888906</v>
      </c>
      <c r="Q160" s="119">
        <f>J156</f>
        <v>1269682.2133333336</v>
      </c>
      <c r="R160" s="99"/>
      <c r="S160" s="120">
        <f>-B157</f>
        <v>1</v>
      </c>
      <c r="T160" s="120">
        <f>B156</f>
        <v>0</v>
      </c>
      <c r="U160" s="120">
        <v>0</v>
      </c>
      <c r="V160" s="120">
        <v>0</v>
      </c>
      <c r="W160" s="120">
        <v>0</v>
      </c>
      <c r="X160" s="119">
        <v>0</v>
      </c>
      <c r="Y160" s="99"/>
      <c r="Z160" s="120">
        <f>L160*S159+M160*S160+N160*S161+O160*S162+P160*S163+Q160*S164</f>
        <v>8464.5480888888906</v>
      </c>
      <c r="AA160" s="120">
        <f>L160*T159+M160*T160+N160*T161+O160*T162+P160*T163+Q160*T164</f>
        <v>0</v>
      </c>
      <c r="AB160" s="120">
        <f>L160*U159+M160*U160+N160*U161+O160*U162+P160*U163+Q160*U164</f>
        <v>1269682.2133333336</v>
      </c>
      <c r="AC160" s="120">
        <f>L160*V159+M160*V160+N160*V161+O160*V162+P160*V163+Q160*V164</f>
        <v>-8464.5480888888906</v>
      </c>
      <c r="AD160" s="120">
        <f>L160*W159+M160*W160+N160*W161+O160*W162+P160*W163+Q160*W164</f>
        <v>0</v>
      </c>
      <c r="AE160" s="119">
        <f>L160*X159+M160*X160+N160*X161+O160*X162+P160*X163+Q160*X164</f>
        <v>1269682.2133333336</v>
      </c>
      <c r="AF160" s="99"/>
      <c r="AG160" s="121">
        <f>O9</f>
        <v>-4.2389023575329525E-2</v>
      </c>
      <c r="AH160" s="121"/>
      <c r="AI160" s="166">
        <f>Z160*AG159+AA160*AG160+AB160*AG161+AC160*AG162+AD160*AG163+AE160*AG164</f>
        <v>0</v>
      </c>
      <c r="AJ160" s="173"/>
      <c r="AX160">
        <f t="shared" si="55"/>
        <v>11</v>
      </c>
      <c r="AY160">
        <f>AX160*1000+AY158</f>
        <v>11010</v>
      </c>
      <c r="AZ160">
        <f>AX160*1000+AZ158</f>
        <v>11011</v>
      </c>
      <c r="BA160">
        <f>AX160*1000+BA158</f>
        <v>11012</v>
      </c>
      <c r="BB160">
        <f>AX160*1000+BB158</f>
        <v>11004</v>
      </c>
      <c r="BC160">
        <f>AX160*1000+BC158</f>
        <v>11005</v>
      </c>
      <c r="BD160">
        <f>AX160*1000+BD158</f>
        <v>11006</v>
      </c>
    </row>
    <row r="161" spans="1:56" x14ac:dyDescent="0.25">
      <c r="A161" s="179">
        <f>-J156*B157</f>
        <v>1269682.2133333336</v>
      </c>
      <c r="B161" s="112">
        <f>J156*B156</f>
        <v>0</v>
      </c>
      <c r="C161" s="122">
        <f>H156</f>
        <v>253936442.66666672</v>
      </c>
      <c r="D161" s="112">
        <f>J156*B157</f>
        <v>-1269682.2133333336</v>
      </c>
      <c r="E161" s="112">
        <f>-J156*B156</f>
        <v>0</v>
      </c>
      <c r="F161" s="112">
        <f>H157</f>
        <v>126968221.33333336</v>
      </c>
      <c r="G161" s="112">
        <v>12</v>
      </c>
      <c r="H161" s="113"/>
      <c r="I161" s="113"/>
      <c r="J161" s="117"/>
      <c r="K161" s="99"/>
      <c r="L161" s="120">
        <v>0</v>
      </c>
      <c r="M161" s="120">
        <f>J156</f>
        <v>1269682.2133333336</v>
      </c>
      <c r="N161" s="120">
        <f>H156</f>
        <v>253936442.66666672</v>
      </c>
      <c r="O161" s="120">
        <v>0</v>
      </c>
      <c r="P161" s="120">
        <f>-J156</f>
        <v>-1269682.2133333336</v>
      </c>
      <c r="Q161" s="119">
        <f>H157</f>
        <v>126968221.33333336</v>
      </c>
      <c r="R161" s="99"/>
      <c r="S161" s="120">
        <v>0</v>
      </c>
      <c r="T161" s="120">
        <v>0</v>
      </c>
      <c r="U161" s="120">
        <v>1</v>
      </c>
      <c r="V161" s="120">
        <v>0</v>
      </c>
      <c r="W161" s="120">
        <v>0</v>
      </c>
      <c r="X161" s="119">
        <v>0</v>
      </c>
      <c r="Y161" s="99"/>
      <c r="Z161" s="120">
        <f>L161*S159+M161*S160+N161*S161+O161*S162+P161*S163+Q161*S164</f>
        <v>1269682.2133333336</v>
      </c>
      <c r="AA161" s="120">
        <f>L161*T159+M161*T160+N161*T161+O161*T162+P161*T163+Q161*T164</f>
        <v>0</v>
      </c>
      <c r="AB161" s="120">
        <f>L161*U159+M161*U160+N161*U161+O161*U162+P161*U163+Q161*U164</f>
        <v>253936442.66666672</v>
      </c>
      <c r="AC161" s="120">
        <f>L161*V159+M161*V160+N161*V161+O161*V162+P161*V163+Q161*V164</f>
        <v>-1269682.2133333336</v>
      </c>
      <c r="AD161" s="120">
        <f>L161*W159+M161*W160+N161*W161+O161*W162+P161*W163+Q161*W164</f>
        <v>0</v>
      </c>
      <c r="AE161" s="119">
        <f>L161*X159+M161*X160+N161*X161+O161*X162+P161*X163+Q161*X164</f>
        <v>126968221.33333336</v>
      </c>
      <c r="AF161" s="99"/>
      <c r="AG161" s="121">
        <f>O10</f>
        <v>-0.16448581715392796</v>
      </c>
      <c r="AH161" s="121"/>
      <c r="AI161" s="121">
        <f>Z161*AG159+AA161*AG160+AB161*AG161+AC161*AG162+AD161*AG163+AE161*AG164</f>
        <v>0</v>
      </c>
      <c r="AJ161" s="173"/>
      <c r="AX161">
        <f t="shared" si="55"/>
        <v>12</v>
      </c>
      <c r="AY161">
        <f>AX161*1000+AY158</f>
        <v>12010</v>
      </c>
      <c r="AZ161">
        <f>AX161*1000+AZ158</f>
        <v>12011</v>
      </c>
      <c r="BA161">
        <f>AX161*1000+BA158</f>
        <v>12012</v>
      </c>
      <c r="BB161">
        <f>AX161*1000+BB158</f>
        <v>12004</v>
      </c>
      <c r="BC161">
        <f>AX161*1000+BC158</f>
        <v>12005</v>
      </c>
      <c r="BD161">
        <f>AX161*1000+BD158</f>
        <v>12006</v>
      </c>
    </row>
    <row r="162" spans="1:56" ht="15.75" x14ac:dyDescent="0.25">
      <c r="A162" s="179">
        <f>-(F157*B156^2+J157*B157^2)</f>
        <v>-8464.5480888888906</v>
      </c>
      <c r="B162" s="112">
        <f>-(F157-J157)*B156*B157</f>
        <v>0</v>
      </c>
      <c r="C162" s="112">
        <f>J156*B157</f>
        <v>-1269682.2133333336</v>
      </c>
      <c r="D162" s="122">
        <f>(F157*B156^2+J157*B157^2)</f>
        <v>8464.5480888888906</v>
      </c>
      <c r="E162" s="112">
        <f>(F157-J157)*B156*B157</f>
        <v>0</v>
      </c>
      <c r="F162" s="112">
        <f>J156*B157</f>
        <v>-1269682.2133333336</v>
      </c>
      <c r="G162" s="112">
        <v>4</v>
      </c>
      <c r="H162" s="113"/>
      <c r="I162" s="113"/>
      <c r="J162" s="117"/>
      <c r="K162" s="99"/>
      <c r="L162" s="120">
        <f>-F157</f>
        <v>-228200</v>
      </c>
      <c r="M162" s="120">
        <v>0</v>
      </c>
      <c r="N162" s="120">
        <v>0</v>
      </c>
      <c r="O162" s="120">
        <f>F157</f>
        <v>228200</v>
      </c>
      <c r="P162" s="120">
        <v>0</v>
      </c>
      <c r="Q162" s="119">
        <v>0</v>
      </c>
      <c r="R162" s="123" t="s">
        <v>126</v>
      </c>
      <c r="S162" s="120">
        <v>0</v>
      </c>
      <c r="T162" s="120">
        <v>0</v>
      </c>
      <c r="U162" s="120">
        <v>0</v>
      </c>
      <c r="V162" s="120">
        <f>B156</f>
        <v>0</v>
      </c>
      <c r="W162" s="120">
        <f>B157</f>
        <v>-1</v>
      </c>
      <c r="X162" s="119">
        <v>0</v>
      </c>
      <c r="Y162" s="124" t="s">
        <v>58</v>
      </c>
      <c r="Z162" s="120">
        <f>L162*S159+M162*S160+N162*S161+O162*S162+P162*S163+Q162*S164</f>
        <v>0</v>
      </c>
      <c r="AA162" s="120">
        <f>L162*T159+M162*T160+N162*T161+O162*T162+P162*T163+Q162*T164</f>
        <v>228200</v>
      </c>
      <c r="AB162" s="120">
        <f>L162*U159+M162*U160+N162*U161+O162*U162+P162*U163+Q162*U164</f>
        <v>0</v>
      </c>
      <c r="AC162" s="120">
        <f>L162*V159+M162*V160+N162*V161+O162*V162+P162*V163+Q162*V164</f>
        <v>0</v>
      </c>
      <c r="AD162" s="120">
        <f>L162*W159+M162*W160+N162*W161+O162*W162+P162*W163+Q162*W164</f>
        <v>-228200</v>
      </c>
      <c r="AE162" s="119">
        <f>L162*X159+M162*X160+N162*X161+O162*X162+P162*X163+Q162*X164</f>
        <v>0</v>
      </c>
      <c r="AF162" s="123" t="s">
        <v>126</v>
      </c>
      <c r="AG162" s="192">
        <v>0</v>
      </c>
      <c r="AH162" s="123" t="s">
        <v>58</v>
      </c>
      <c r="AI162" s="121">
        <f>Z162*AG159+AA162*AG160+AB162*AG161+AC162*AG162+AD162*AG163+AE162*AG164</f>
        <v>-9673.1751798901969</v>
      </c>
      <c r="AJ162" s="173"/>
      <c r="AX162">
        <f t="shared" si="55"/>
        <v>4</v>
      </c>
      <c r="AY162">
        <f>AX162*1000+AY158</f>
        <v>4010</v>
      </c>
      <c r="AZ162">
        <f>AX162*1000+AZ158</f>
        <v>4011</v>
      </c>
      <c r="BA162">
        <f>AX162*1000+BA158</f>
        <v>4012</v>
      </c>
      <c r="BB162">
        <f>AX162*1000+BB158</f>
        <v>4004</v>
      </c>
      <c r="BC162">
        <f>AX162*1000+BC158</f>
        <v>4005</v>
      </c>
      <c r="BD162">
        <f>AX162*1000+BD158</f>
        <v>4006</v>
      </c>
    </row>
    <row r="163" spans="1:56" x14ac:dyDescent="0.25">
      <c r="A163" s="179">
        <f>-(F157-J157)*B156*B157</f>
        <v>0</v>
      </c>
      <c r="B163" s="112">
        <f>-(F157*B157^2+J157*B156^2)</f>
        <v>-228200</v>
      </c>
      <c r="C163" s="112">
        <f>-J156*B156</f>
        <v>0</v>
      </c>
      <c r="D163" s="112">
        <f>(F157-J157)*B156*B157</f>
        <v>0</v>
      </c>
      <c r="E163" s="122">
        <f>(F157*B157^2+J157*B156^2)</f>
        <v>228200</v>
      </c>
      <c r="F163" s="112">
        <f>-J156*B156</f>
        <v>0</v>
      </c>
      <c r="G163" s="112">
        <v>5</v>
      </c>
      <c r="H163" s="113"/>
      <c r="I163" s="113"/>
      <c r="J163" s="117"/>
      <c r="K163" s="99"/>
      <c r="L163" s="120">
        <v>0</v>
      </c>
      <c r="M163" s="120">
        <f>-J157</f>
        <v>-8464.5480888888906</v>
      </c>
      <c r="N163" s="120">
        <f>-J156</f>
        <v>-1269682.2133333336</v>
      </c>
      <c r="O163" s="120">
        <v>0</v>
      </c>
      <c r="P163" s="120">
        <f>J157</f>
        <v>8464.5480888888906</v>
      </c>
      <c r="Q163" s="119">
        <f>-J156</f>
        <v>-1269682.2133333336</v>
      </c>
      <c r="R163" s="99"/>
      <c r="S163" s="120">
        <v>0</v>
      </c>
      <c r="T163" s="120">
        <v>0</v>
      </c>
      <c r="U163" s="120">
        <v>0</v>
      </c>
      <c r="V163" s="120">
        <f>-B157</f>
        <v>1</v>
      </c>
      <c r="W163" s="120">
        <f>B156</f>
        <v>0</v>
      </c>
      <c r="X163" s="119">
        <v>0</v>
      </c>
      <c r="Y163" s="99"/>
      <c r="Z163" s="120">
        <f>L163*S159+M163*S160+N163*S161+O163*S162+P163*S163+Q163*S164</f>
        <v>-8464.5480888888906</v>
      </c>
      <c r="AA163" s="120">
        <f>L163*T159+M163*T160+N163*T161+O163*T162+P163*T163+Q163*T164</f>
        <v>0</v>
      </c>
      <c r="AB163" s="120">
        <f>L163*U159+M163*U160+N163*U161+O163*U162+P163*U163+Q163*U164</f>
        <v>-1269682.2133333336</v>
      </c>
      <c r="AC163" s="120">
        <f>L163*V159+M163*V160+N163*V161+O163*V162+P163*V163+Q163*V164</f>
        <v>8464.5480888888906</v>
      </c>
      <c r="AD163" s="120">
        <f>L163*W159+M163*W160+N163*W161+O163*W162+P163*W163+Q163*W164</f>
        <v>0</v>
      </c>
      <c r="AE163" s="119">
        <f>L163*X159+M163*X160+N163*X161+O163*X162+P163*X163+Q163*X164</f>
        <v>-1269682.2133333336</v>
      </c>
      <c r="AF163" s="99"/>
      <c r="AG163" s="121">
        <v>0</v>
      </c>
      <c r="AH163" s="121"/>
      <c r="AI163" s="121">
        <f>Z163*AG159+AA163*AG160+AB163*AG161+AC163*AG162+AD163*AG163+AE163*AG164</f>
        <v>0</v>
      </c>
      <c r="AJ163" s="173"/>
      <c r="AX163">
        <f t="shared" si="55"/>
        <v>5</v>
      </c>
      <c r="AY163">
        <f>AX163*1000+AY158</f>
        <v>5010</v>
      </c>
      <c r="AZ163">
        <f>AX163*1000+AZ158</f>
        <v>5011</v>
      </c>
      <c r="BA163">
        <f>AX163*1000+BA158</f>
        <v>5012</v>
      </c>
      <c r="BB163">
        <f>AX163*1000+BB158</f>
        <v>5004</v>
      </c>
      <c r="BC163">
        <f>AX163*1000+BC158</f>
        <v>5005</v>
      </c>
      <c r="BD163">
        <f>AX163*1000+BD158</f>
        <v>5006</v>
      </c>
    </row>
    <row r="164" spans="1:56" ht="15.75" thickBot="1" x14ac:dyDescent="0.3">
      <c r="A164" s="181">
        <f>-J156*B157</f>
        <v>1269682.2133333336</v>
      </c>
      <c r="B164" s="125">
        <f>J156*B156</f>
        <v>0</v>
      </c>
      <c r="C164" s="125">
        <f>H157</f>
        <v>126968221.33333336</v>
      </c>
      <c r="D164" s="125">
        <f>J156*B157</f>
        <v>-1269682.2133333336</v>
      </c>
      <c r="E164" s="125">
        <f>-J156*B156</f>
        <v>0</v>
      </c>
      <c r="F164" s="126">
        <f>H156</f>
        <v>253936442.66666672</v>
      </c>
      <c r="G164" s="125">
        <v>6</v>
      </c>
      <c r="H164" s="127"/>
      <c r="I164" s="127"/>
      <c r="J164" s="128"/>
      <c r="K164" s="99"/>
      <c r="L164" s="120">
        <v>0</v>
      </c>
      <c r="M164" s="120">
        <f>J156</f>
        <v>1269682.2133333336</v>
      </c>
      <c r="N164" s="120">
        <f>H157</f>
        <v>126968221.33333336</v>
      </c>
      <c r="O164" s="120">
        <v>0</v>
      </c>
      <c r="P164" s="120">
        <f>-J156</f>
        <v>-1269682.2133333336</v>
      </c>
      <c r="Q164" s="119">
        <f>H156</f>
        <v>253936442.66666672</v>
      </c>
      <c r="R164" s="99"/>
      <c r="S164" s="120">
        <v>0</v>
      </c>
      <c r="T164" s="120">
        <v>0</v>
      </c>
      <c r="U164" s="120">
        <v>0</v>
      </c>
      <c r="V164" s="120">
        <v>0</v>
      </c>
      <c r="W164" s="120">
        <v>0</v>
      </c>
      <c r="X164" s="119">
        <v>1</v>
      </c>
      <c r="Y164" s="99"/>
      <c r="Z164" s="120">
        <f>L164*S159+M164*S160+N164*S161+O164*S162+P164*S163+Q164*S164</f>
        <v>1269682.2133333336</v>
      </c>
      <c r="AA164" s="120">
        <f>L164*T159+M164*T160+N164*T161+O164*T162+P164*T163+Q164*T164</f>
        <v>0</v>
      </c>
      <c r="AB164" s="120">
        <f>L164*U159+M164*U160+N164*U161+O164*U162+P164*U163+Q164*U164</f>
        <v>126968221.33333336</v>
      </c>
      <c r="AC164" s="120">
        <f>L164*V159+M164*V160+N164*V161+O164*V162+P164*V163+Q164*V164</f>
        <v>-1269682.2133333336</v>
      </c>
      <c r="AD164" s="120">
        <f>L164*W159+M164*W160+N164*W161+O164*W162+P164*W163+Q164*W164</f>
        <v>0</v>
      </c>
      <c r="AE164" s="119">
        <f>L164*X159+M164*X160+N164*X161+O164*X162+P164*X163+Q164*X164</f>
        <v>253936442.66666672</v>
      </c>
      <c r="AF164" s="99"/>
      <c r="AG164" s="166">
        <f>O4</f>
        <v>-0.16448581715392796</v>
      </c>
      <c r="AH164" s="121"/>
      <c r="AI164" s="121">
        <f>Z164*AG159+AA164*AG160+AB164*AG161+AC164*AG162+AD164*AG163+AE164*AG164</f>
        <v>0</v>
      </c>
      <c r="AJ164" s="173"/>
      <c r="AX164">
        <f t="shared" si="55"/>
        <v>6</v>
      </c>
      <c r="AY164">
        <f>AX164*1000+AY158</f>
        <v>6010</v>
      </c>
      <c r="AZ164">
        <f>AX164*1000+AZ158</f>
        <v>6011</v>
      </c>
      <c r="BA164">
        <f>AX164*1000+BA158</f>
        <v>6012</v>
      </c>
      <c r="BB164">
        <f>AX164*1000+BB158</f>
        <v>6004</v>
      </c>
      <c r="BC164">
        <f>AX164*1000+BC158</f>
        <v>6005</v>
      </c>
      <c r="BD164">
        <f>AX164*1000+BD158</f>
        <v>6006</v>
      </c>
    </row>
    <row r="165" spans="1:56" x14ac:dyDescent="0.25">
      <c r="AJ165" s="173"/>
    </row>
    <row r="166" spans="1:56" x14ac:dyDescent="0.25">
      <c r="B166" s="118">
        <f>A167</f>
        <v>1</v>
      </c>
      <c r="C166" s="118">
        <f>A168</f>
        <v>2</v>
      </c>
      <c r="D166" s="118">
        <f>A169</f>
        <v>3</v>
      </c>
      <c r="E166" s="118">
        <f>A170</f>
        <v>4</v>
      </c>
      <c r="F166" s="118">
        <f>A171</f>
        <v>5</v>
      </c>
      <c r="G166" s="118">
        <f>A172</f>
        <v>6</v>
      </c>
      <c r="H166" s="118">
        <f>A173</f>
        <v>7</v>
      </c>
      <c r="I166" s="118">
        <f>A174</f>
        <v>8</v>
      </c>
      <c r="J166" s="118">
        <f>A175</f>
        <v>9</v>
      </c>
      <c r="K166" s="118">
        <f>A176</f>
        <v>10</v>
      </c>
      <c r="L166" s="118">
        <f>A177</f>
        <v>11</v>
      </c>
      <c r="M166" s="118">
        <f>A178</f>
        <v>12</v>
      </c>
      <c r="N166" s="118">
        <f>A179</f>
        <v>13</v>
      </c>
      <c r="AJ166" s="173"/>
    </row>
    <row r="167" spans="1:56" x14ac:dyDescent="0.25">
      <c r="A167" s="182">
        <v>1</v>
      </c>
      <c r="B167" s="118">
        <f>SUMIF($AY$141:$BD$164,$A$167*1000+B166,$A$141:$F$164)</f>
        <v>1828.3423872000003</v>
      </c>
      <c r="C167" s="118">
        <f t="shared" ref="C167:N167" si="56">SUMIF($AY$141:$BD$164,$A$167*1000+C166,$A$141:$F$164)</f>
        <v>0</v>
      </c>
      <c r="D167" s="118">
        <f t="shared" si="56"/>
        <v>-457085.59680000006</v>
      </c>
      <c r="E167" s="118">
        <f t="shared" si="56"/>
        <v>0</v>
      </c>
      <c r="F167" s="155">
        <f t="shared" si="56"/>
        <v>0</v>
      </c>
      <c r="G167" s="118">
        <f t="shared" si="56"/>
        <v>0</v>
      </c>
      <c r="H167" s="118">
        <f t="shared" si="56"/>
        <v>-1828.3423872000003</v>
      </c>
      <c r="I167" s="118">
        <f t="shared" si="56"/>
        <v>0</v>
      </c>
      <c r="J167" s="118">
        <f t="shared" si="56"/>
        <v>-457085.59680000006</v>
      </c>
      <c r="K167" s="118">
        <f t="shared" si="56"/>
        <v>0</v>
      </c>
      <c r="L167" s="118">
        <f t="shared" si="56"/>
        <v>0</v>
      </c>
      <c r="M167" s="118">
        <f t="shared" si="56"/>
        <v>0</v>
      </c>
      <c r="N167" s="119">
        <f t="shared" si="56"/>
        <v>0</v>
      </c>
      <c r="O167" s="20"/>
      <c r="P167" s="130" t="s">
        <v>59</v>
      </c>
      <c r="Q167" s="183"/>
      <c r="R167" s="130">
        <v>0</v>
      </c>
      <c r="S167" s="20"/>
      <c r="T167" s="20"/>
      <c r="AJ167" s="173"/>
    </row>
    <row r="168" spans="1:56" x14ac:dyDescent="0.25">
      <c r="A168" s="182">
        <v>2</v>
      </c>
      <c r="B168" s="118">
        <f>SUMIF($AY$141:$BD$164,$A$168*1000+B166,$A$141:$F$164)</f>
        <v>0</v>
      </c>
      <c r="C168" s="118">
        <f t="shared" ref="C168:N168" si="57">SUMIF($AY$141:$BD$164,$A$168*1000+C166,$A$141:$F$164)</f>
        <v>136920</v>
      </c>
      <c r="D168" s="118">
        <f t="shared" si="57"/>
        <v>0</v>
      </c>
      <c r="E168" s="118">
        <f t="shared" si="57"/>
        <v>0</v>
      </c>
      <c r="F168" s="155">
        <f t="shared" si="57"/>
        <v>0</v>
      </c>
      <c r="G168" s="118">
        <f t="shared" si="57"/>
        <v>0</v>
      </c>
      <c r="H168" s="118">
        <f t="shared" si="57"/>
        <v>0</v>
      </c>
      <c r="I168" s="118">
        <f t="shared" si="57"/>
        <v>-136920</v>
      </c>
      <c r="J168" s="118">
        <f t="shared" si="57"/>
        <v>0</v>
      </c>
      <c r="K168" s="118">
        <f t="shared" si="57"/>
        <v>0</v>
      </c>
      <c r="L168" s="118">
        <f t="shared" si="57"/>
        <v>0</v>
      </c>
      <c r="M168" s="118">
        <f t="shared" si="57"/>
        <v>0</v>
      </c>
      <c r="N168" s="119">
        <f t="shared" si="57"/>
        <v>0</v>
      </c>
      <c r="O168" s="20"/>
      <c r="P168" s="130" t="s">
        <v>60</v>
      </c>
      <c r="Q168" s="183"/>
      <c r="R168" s="130">
        <v>0</v>
      </c>
      <c r="S168" s="20"/>
      <c r="T168" s="20"/>
      <c r="AG168" s="201">
        <f>B134</f>
        <v>0</v>
      </c>
      <c r="AH168" s="201">
        <f>C134</f>
        <v>0</v>
      </c>
      <c r="AJ168" s="173"/>
    </row>
    <row r="169" spans="1:56" x14ac:dyDescent="0.25">
      <c r="A169" s="182">
        <v>3</v>
      </c>
      <c r="B169" s="118">
        <f>SUMIF($AY$141:$BD$164,$A$169*1000+B166,$A$141:$F$164)</f>
        <v>-457085.59680000006</v>
      </c>
      <c r="C169" s="118">
        <f t="shared" ref="C169:N169" si="58">SUMIF($AY$141:$BD$164,$A$169*1000+C166,$A$141:$F$164)</f>
        <v>0</v>
      </c>
      <c r="D169" s="118">
        <f t="shared" si="58"/>
        <v>152361865.60000002</v>
      </c>
      <c r="E169" s="118">
        <f t="shared" si="58"/>
        <v>0</v>
      </c>
      <c r="F169" s="155">
        <f t="shared" si="58"/>
        <v>0</v>
      </c>
      <c r="G169" s="118">
        <f t="shared" si="58"/>
        <v>0</v>
      </c>
      <c r="H169" s="118">
        <f t="shared" si="58"/>
        <v>457085.59680000006</v>
      </c>
      <c r="I169" s="118">
        <f t="shared" si="58"/>
        <v>0</v>
      </c>
      <c r="J169" s="118">
        <f t="shared" si="58"/>
        <v>76180932.800000012</v>
      </c>
      <c r="K169" s="118">
        <f t="shared" si="58"/>
        <v>0</v>
      </c>
      <c r="L169" s="118">
        <f t="shared" si="58"/>
        <v>0</v>
      </c>
      <c r="M169" s="118">
        <f t="shared" si="58"/>
        <v>0</v>
      </c>
      <c r="N169" s="119">
        <f t="shared" si="58"/>
        <v>0</v>
      </c>
      <c r="O169" s="20"/>
      <c r="P169" s="130" t="s">
        <v>84</v>
      </c>
      <c r="Q169" s="183"/>
      <c r="R169" s="130">
        <v>0</v>
      </c>
      <c r="S169" s="20"/>
      <c r="T169" s="20"/>
      <c r="AG169" s="151">
        <f>B135+AG144</f>
        <v>49.418062687460889</v>
      </c>
      <c r="AH169" s="20">
        <f>C135+AG145</f>
        <v>500.07064837262556</v>
      </c>
      <c r="AJ169" s="173"/>
    </row>
    <row r="170" spans="1:56" x14ac:dyDescent="0.25">
      <c r="A170" s="182">
        <v>4</v>
      </c>
      <c r="B170" s="118">
        <f>SUMIF($AY$141:$BD$164,$A$1707*1000+B166,$A$141:$F$164)</f>
        <v>0</v>
      </c>
      <c r="C170" s="118">
        <f t="shared" ref="C170:N170" si="59">SUMIF($AY$141:$BD$164,$A$1707*1000+C166,$A$141:$F$164)</f>
        <v>0</v>
      </c>
      <c r="D170" s="118">
        <f t="shared" si="59"/>
        <v>0</v>
      </c>
      <c r="E170" s="118">
        <f t="shared" si="59"/>
        <v>4</v>
      </c>
      <c r="F170" s="155">
        <f t="shared" si="59"/>
        <v>5</v>
      </c>
      <c r="G170" s="118">
        <f t="shared" si="59"/>
        <v>6</v>
      </c>
      <c r="H170" s="118">
        <f t="shared" si="59"/>
        <v>7</v>
      </c>
      <c r="I170" s="118">
        <f t="shared" si="59"/>
        <v>8</v>
      </c>
      <c r="J170" s="118">
        <f t="shared" si="59"/>
        <v>9</v>
      </c>
      <c r="K170" s="118">
        <f t="shared" si="59"/>
        <v>20</v>
      </c>
      <c r="L170" s="118">
        <f t="shared" si="59"/>
        <v>22</v>
      </c>
      <c r="M170" s="118">
        <f t="shared" si="59"/>
        <v>12</v>
      </c>
      <c r="N170" s="119">
        <f t="shared" si="59"/>
        <v>13</v>
      </c>
      <c r="O170" s="20"/>
      <c r="P170" s="130" t="s">
        <v>85</v>
      </c>
      <c r="Q170" s="183"/>
      <c r="R170" s="131">
        <v>0</v>
      </c>
      <c r="S170" s="20"/>
      <c r="T170" s="20"/>
      <c r="AG170" s="20">
        <f>B136+AG153</f>
        <v>649.34574514617839</v>
      </c>
      <c r="AH170" s="20">
        <f>C136+AG154</f>
        <v>299.95761097642469</v>
      </c>
      <c r="AJ170" s="173"/>
    </row>
    <row r="171" spans="1:56" ht="15.75" thickBot="1" x14ac:dyDescent="0.3">
      <c r="A171" s="182">
        <v>5</v>
      </c>
      <c r="B171" s="152">
        <f>SUMIF($AY$141:$BD$164,$A$171*1000+B166,$A$141:$F$164)</f>
        <v>0</v>
      </c>
      <c r="C171" s="153">
        <f t="shared" ref="C171:N171" si="60">SUMIF($AY$141:$BD$164,$A$171*1000+C166,$A$141:$F$164)</f>
        <v>0</v>
      </c>
      <c r="D171" s="153">
        <f t="shared" si="60"/>
        <v>0</v>
      </c>
      <c r="E171" s="153">
        <f t="shared" si="60"/>
        <v>0</v>
      </c>
      <c r="F171" s="156">
        <f t="shared" si="60"/>
        <v>228200</v>
      </c>
      <c r="G171" s="153">
        <f t="shared" si="60"/>
        <v>0</v>
      </c>
      <c r="H171" s="153">
        <f t="shared" si="60"/>
        <v>0</v>
      </c>
      <c r="I171" s="153">
        <f t="shared" si="60"/>
        <v>0</v>
      </c>
      <c r="J171" s="153">
        <f t="shared" si="60"/>
        <v>0</v>
      </c>
      <c r="K171" s="153">
        <f t="shared" si="60"/>
        <v>0</v>
      </c>
      <c r="L171" s="153">
        <f t="shared" si="60"/>
        <v>-228200</v>
      </c>
      <c r="M171" s="153">
        <f t="shared" si="60"/>
        <v>0</v>
      </c>
      <c r="N171" s="154">
        <f t="shared" si="60"/>
        <v>0</v>
      </c>
      <c r="O171" s="20"/>
      <c r="P171" s="130" t="s">
        <v>135</v>
      </c>
      <c r="Q171" s="20"/>
      <c r="R171" s="130">
        <v>0</v>
      </c>
      <c r="S171" s="20"/>
      <c r="T171" s="20"/>
      <c r="AG171" s="20">
        <f>D136</f>
        <v>600</v>
      </c>
      <c r="AH171" s="20">
        <f>E136</f>
        <v>0</v>
      </c>
      <c r="AJ171" s="173"/>
    </row>
    <row r="172" spans="1:56" x14ac:dyDescent="0.25">
      <c r="A172" s="182">
        <v>6</v>
      </c>
      <c r="B172" s="118">
        <f>SUMIF($AY$141:$BD$164,$A$172*1000+B166,$A$141:$F$164)</f>
        <v>0</v>
      </c>
      <c r="C172" s="118">
        <f t="shared" ref="C172:F172" si="61">SUMIF($AY$141:$BD$164,$A$172*1000+C166,$A$141:$F$164)</f>
        <v>0</v>
      </c>
      <c r="D172" s="118">
        <f t="shared" si="61"/>
        <v>0</v>
      </c>
      <c r="E172" s="118">
        <f t="shared" si="61"/>
        <v>-1269682.2133333336</v>
      </c>
      <c r="F172" s="155">
        <f t="shared" si="61"/>
        <v>0</v>
      </c>
      <c r="G172" s="196">
        <f>F164</f>
        <v>253936442.66666672</v>
      </c>
      <c r="H172" s="195">
        <v>0</v>
      </c>
      <c r="I172" s="195">
        <v>0</v>
      </c>
      <c r="J172" s="195">
        <v>0</v>
      </c>
      <c r="K172" s="195">
        <f>A164</f>
        <v>1269682.2133333336</v>
      </c>
      <c r="L172" s="195">
        <f>B164</f>
        <v>0</v>
      </c>
      <c r="M172" s="195">
        <f>C164</f>
        <v>126968221.33333336</v>
      </c>
      <c r="N172" s="158">
        <v>0</v>
      </c>
      <c r="O172" s="20"/>
      <c r="P172" s="130" t="s">
        <v>64</v>
      </c>
      <c r="Q172" s="20"/>
      <c r="R172" s="130">
        <v>0</v>
      </c>
      <c r="S172" s="20"/>
      <c r="T172" s="166">
        <f>O4</f>
        <v>-0.16448581715392796</v>
      </c>
      <c r="AG172" s="20"/>
      <c r="AH172" s="20"/>
      <c r="AJ172" s="173"/>
    </row>
    <row r="173" spans="1:56" x14ac:dyDescent="0.25">
      <c r="A173" s="182">
        <v>7</v>
      </c>
      <c r="B173" s="118">
        <f>SUMIF($AY$141:$BD$164,$A$173*1000+B166,$A$141:$F$164)</f>
        <v>-1828.3423872000003</v>
      </c>
      <c r="C173" s="118">
        <f t="shared" ref="C173:F173" si="62">SUMIF($AY$141:$BD$164,$A$173*1000+C166,$A$141:$F$164)</f>
        <v>0</v>
      </c>
      <c r="D173" s="118">
        <f t="shared" si="62"/>
        <v>457085.59680000006</v>
      </c>
      <c r="E173" s="118">
        <f t="shared" si="62"/>
        <v>0</v>
      </c>
      <c r="F173" s="155">
        <f t="shared" si="62"/>
        <v>0</v>
      </c>
      <c r="G173" s="195">
        <v>0</v>
      </c>
      <c r="H173" s="196">
        <f t="shared" ref="H173:J175" si="63">D144+A150</f>
        <v>85659.585700377225</v>
      </c>
      <c r="I173" s="195">
        <f t="shared" si="63"/>
        <v>-27767.800799352925</v>
      </c>
      <c r="J173" s="195">
        <f t="shared" si="63"/>
        <v>509869.68831184402</v>
      </c>
      <c r="K173" s="195">
        <f t="shared" ref="K173:L175" si="64">D150</f>
        <v>-83831.243313177227</v>
      </c>
      <c r="L173" s="195">
        <f t="shared" si="64"/>
        <v>27767.800799352925</v>
      </c>
      <c r="M173" s="195">
        <v>0</v>
      </c>
      <c r="N173" s="158">
        <f>F150</f>
        <v>52784.091511843944</v>
      </c>
      <c r="O173" s="145" t="s">
        <v>126</v>
      </c>
      <c r="P173" s="130" t="s">
        <v>78</v>
      </c>
      <c r="Q173" s="123" t="s">
        <v>58</v>
      </c>
      <c r="R173" s="121">
        <f>$Y$12</f>
        <v>40000</v>
      </c>
      <c r="S173" s="120"/>
      <c r="T173" s="166">
        <f>O5</f>
        <v>49.418062687460889</v>
      </c>
      <c r="AJ173" s="173"/>
    </row>
    <row r="174" spans="1:56" x14ac:dyDescent="0.25">
      <c r="A174" s="182">
        <v>8</v>
      </c>
      <c r="B174" s="118">
        <f>SUMIF($AY$141:$BD$164,$A$174*1000+B166,$A$141:$F$164)</f>
        <v>0</v>
      </c>
      <c r="C174" s="118">
        <f t="shared" ref="C174:F174" si="65">SUMIF($AY$141:$BD$164,$A$174*1000+C166,$A$141:$F$164)</f>
        <v>-136920</v>
      </c>
      <c r="D174" s="118">
        <f t="shared" si="65"/>
        <v>0</v>
      </c>
      <c r="E174" s="118">
        <f t="shared" si="65"/>
        <v>0</v>
      </c>
      <c r="F174" s="155">
        <f t="shared" si="65"/>
        <v>0</v>
      </c>
      <c r="G174" s="195">
        <v>0</v>
      </c>
      <c r="H174" s="195">
        <f t="shared" si="63"/>
        <v>-27767.800799352925</v>
      </c>
      <c r="I174" s="196">
        <f t="shared" si="63"/>
        <v>146703.77451490273</v>
      </c>
      <c r="J174" s="195">
        <f t="shared" si="63"/>
        <v>158352.27453553185</v>
      </c>
      <c r="K174" s="195">
        <f t="shared" si="64"/>
        <v>27767.800799352925</v>
      </c>
      <c r="L174" s="195">
        <f t="shared" si="64"/>
        <v>-9783.7745149027469</v>
      </c>
      <c r="M174" s="195">
        <v>0</v>
      </c>
      <c r="N174" s="158">
        <f>F151</f>
        <v>158352.27453553185</v>
      </c>
      <c r="O174" s="99"/>
      <c r="P174" s="130" t="s">
        <v>79</v>
      </c>
      <c r="Q174" s="99"/>
      <c r="R174" s="121">
        <v>0</v>
      </c>
      <c r="S174" s="120"/>
      <c r="T174" s="166">
        <f t="shared" ref="T174:T179" si="66">O6</f>
        <v>7.0648372625548794E-2</v>
      </c>
      <c r="AJ174" s="173"/>
    </row>
    <row r="175" spans="1:56" x14ac:dyDescent="0.25">
      <c r="A175" s="182">
        <v>9</v>
      </c>
      <c r="B175" s="118">
        <f>SUMIF($AY$141:$BD$164,$A$175*1000+B166,$A$141:$F$164)</f>
        <v>-457085.59680000006</v>
      </c>
      <c r="C175" s="118">
        <f t="shared" ref="C175:F175" si="67">SUMIF($AY$141:$BD$164,$A$175*1000+C166,$A$141:$F$164)</f>
        <v>0</v>
      </c>
      <c r="D175" s="118">
        <f t="shared" si="67"/>
        <v>76180932.800000012</v>
      </c>
      <c r="E175" s="118">
        <f t="shared" si="67"/>
        <v>0</v>
      </c>
      <c r="F175" s="155">
        <f t="shared" si="67"/>
        <v>0</v>
      </c>
      <c r="G175" s="195">
        <v>0</v>
      </c>
      <c r="H175" s="195">
        <f t="shared" si="63"/>
        <v>509869.68831184402</v>
      </c>
      <c r="I175" s="195">
        <f t="shared" si="63"/>
        <v>158352.27453553185</v>
      </c>
      <c r="J175" s="196">
        <f t="shared" si="63"/>
        <v>222740654.28245863</v>
      </c>
      <c r="K175" s="195">
        <f t="shared" si="64"/>
        <v>-52784.091511843944</v>
      </c>
      <c r="L175" s="195">
        <f t="shared" si="64"/>
        <v>-158352.27453553185</v>
      </c>
      <c r="M175" s="195">
        <v>0</v>
      </c>
      <c r="N175" s="158">
        <f>F152</f>
        <v>35189394.341229305</v>
      </c>
      <c r="O175" s="99"/>
      <c r="P175" s="130" t="s">
        <v>80</v>
      </c>
      <c r="Q175" s="99"/>
      <c r="R175" s="121">
        <v>0</v>
      </c>
      <c r="S175" s="120"/>
      <c r="T175" s="166">
        <f t="shared" si="66"/>
        <v>-0.11016128938935642</v>
      </c>
      <c r="AJ175" s="173"/>
    </row>
    <row r="176" spans="1:56" x14ac:dyDescent="0.25">
      <c r="A176" s="182">
        <v>10</v>
      </c>
      <c r="B176" s="118">
        <f>SUMIF($AY$141:$BD$164,$A$176*1000+B166,$A$141:$F$164)</f>
        <v>0</v>
      </c>
      <c r="C176" s="118">
        <f t="shared" ref="C176:F176" si="68">SUMIF($AY$141:$BD$164,$A$176*1000+C166,$A$141:$F$164)</f>
        <v>0</v>
      </c>
      <c r="D176" s="118">
        <f t="shared" si="68"/>
        <v>0</v>
      </c>
      <c r="E176" s="118">
        <f t="shared" si="68"/>
        <v>-8464.5480888888906</v>
      </c>
      <c r="F176" s="155">
        <f t="shared" si="68"/>
        <v>0</v>
      </c>
      <c r="G176" s="195">
        <f>F159</f>
        <v>1269682.2133333336</v>
      </c>
      <c r="H176" s="195">
        <f t="shared" ref="H176:J177" si="69">A153</f>
        <v>-83831.243313177227</v>
      </c>
      <c r="I176" s="195">
        <f t="shared" si="69"/>
        <v>27767.800799352925</v>
      </c>
      <c r="J176" s="195">
        <f t="shared" si="69"/>
        <v>-52784.091511843944</v>
      </c>
      <c r="K176" s="196">
        <f>D153+A159</f>
        <v>92295.791402066112</v>
      </c>
      <c r="L176" s="195">
        <f>E153</f>
        <v>-27767.800799352925</v>
      </c>
      <c r="M176" s="195">
        <f>C159</f>
        <v>1269682.2133333336</v>
      </c>
      <c r="N176" s="158">
        <f>F153</f>
        <v>-52784.091511843944</v>
      </c>
      <c r="O176" s="99"/>
      <c r="P176" s="130" t="s">
        <v>81</v>
      </c>
      <c r="Q176" s="99"/>
      <c r="R176" s="121">
        <f>$Y$13</f>
        <v>0</v>
      </c>
      <c r="S176" s="185" t="str">
        <f>"D="</f>
        <v>D=</v>
      </c>
      <c r="T176" s="166">
        <f t="shared" si="66"/>
        <v>49.345745146178388</v>
      </c>
      <c r="AJ176" s="173"/>
    </row>
    <row r="177" spans="1:36" x14ac:dyDescent="0.25">
      <c r="A177" s="182">
        <v>11</v>
      </c>
      <c r="B177" s="118">
        <f>SUMIF($AY$141:$BD$164,$A$177*1000+B166,$A$141:$F$164)</f>
        <v>0</v>
      </c>
      <c r="C177" s="118">
        <f t="shared" ref="C177:F177" si="70">SUMIF($AY$141:$BD$164,$A$177*1000+C166,$A$141:$F$164)</f>
        <v>0</v>
      </c>
      <c r="D177" s="118">
        <f t="shared" si="70"/>
        <v>0</v>
      </c>
      <c r="E177" s="118">
        <f t="shared" si="70"/>
        <v>0</v>
      </c>
      <c r="F177" s="155">
        <f t="shared" si="70"/>
        <v>-228200</v>
      </c>
      <c r="G177" s="195">
        <f>F160</f>
        <v>0</v>
      </c>
      <c r="H177" s="195">
        <f t="shared" si="69"/>
        <v>27767.800799352925</v>
      </c>
      <c r="I177" s="195">
        <f t="shared" si="69"/>
        <v>-9783.7745149027469</v>
      </c>
      <c r="J177" s="195">
        <f t="shared" si="69"/>
        <v>-158352.27453553185</v>
      </c>
      <c r="K177" s="195">
        <f>D154+A160</f>
        <v>-27767.800799352925</v>
      </c>
      <c r="L177" s="196">
        <f>E154+B160</f>
        <v>237983.77451490273</v>
      </c>
      <c r="M177" s="195">
        <f>C160</f>
        <v>0</v>
      </c>
      <c r="N177" s="158">
        <f>F154</f>
        <v>-158352.27453553185</v>
      </c>
      <c r="O177" s="99"/>
      <c r="P177" s="130" t="s">
        <v>82</v>
      </c>
      <c r="Q177" s="99"/>
      <c r="R177" s="121">
        <v>0</v>
      </c>
      <c r="S177" s="120"/>
      <c r="T177" s="166">
        <f t="shared" si="66"/>
        <v>-4.2389023575329525E-2</v>
      </c>
      <c r="AJ177" s="173"/>
    </row>
    <row r="178" spans="1:36" x14ac:dyDescent="0.25">
      <c r="A178" s="182">
        <v>12</v>
      </c>
      <c r="B178" s="118">
        <f>SUMIF($AY$141:$BD$164,$A$178*1000+B166,$A$141:$F$164)</f>
        <v>0</v>
      </c>
      <c r="C178" s="118">
        <f t="shared" ref="C178:F178" si="71">SUMIF($AY$141:$BD$164,$A$178*1000+C166,$A$141:$F$164)</f>
        <v>0</v>
      </c>
      <c r="D178" s="118">
        <f t="shared" si="71"/>
        <v>0</v>
      </c>
      <c r="E178" s="118">
        <f t="shared" si="71"/>
        <v>-1269682.2133333336</v>
      </c>
      <c r="F178" s="155">
        <f t="shared" si="71"/>
        <v>0</v>
      </c>
      <c r="G178" s="195">
        <f>F161</f>
        <v>126968221.33333336</v>
      </c>
      <c r="H178" s="195">
        <v>0</v>
      </c>
      <c r="I178" s="195">
        <v>0</v>
      </c>
      <c r="J178" s="195">
        <v>0</v>
      </c>
      <c r="K178" s="195">
        <f>A161</f>
        <v>1269682.2133333336</v>
      </c>
      <c r="L178" s="195">
        <f>B161</f>
        <v>0</v>
      </c>
      <c r="M178" s="196">
        <f>C161</f>
        <v>253936442.66666672</v>
      </c>
      <c r="N178" s="158">
        <v>0</v>
      </c>
      <c r="O178" s="99"/>
      <c r="P178" s="130" t="s">
        <v>83</v>
      </c>
      <c r="Q178" s="99"/>
      <c r="R178" s="121">
        <v>0</v>
      </c>
      <c r="S178" s="120"/>
      <c r="T178" s="166">
        <f t="shared" si="66"/>
        <v>-0.16448581715392796</v>
      </c>
      <c r="AJ178" s="173"/>
    </row>
    <row r="179" spans="1:36" x14ac:dyDescent="0.25">
      <c r="A179" s="193">
        <v>13</v>
      </c>
      <c r="B179" s="118">
        <f>SUMIF($AY$141:$BD$164,$A$179*1000+B166,$A$141:$F$164)</f>
        <v>0</v>
      </c>
      <c r="C179" s="118">
        <f t="shared" ref="C179:F179" si="72">SUMIF($AY$141:$BD$164,$A$179*1000+C166,$A$141:$F$164)</f>
        <v>0</v>
      </c>
      <c r="D179" s="118">
        <f t="shared" si="72"/>
        <v>0</v>
      </c>
      <c r="E179" s="118">
        <f t="shared" si="72"/>
        <v>0</v>
      </c>
      <c r="F179" s="155">
        <f t="shared" si="72"/>
        <v>0</v>
      </c>
      <c r="G179" s="195">
        <v>0</v>
      </c>
      <c r="H179" s="195">
        <f>A155</f>
        <v>52784.091511843944</v>
      </c>
      <c r="I179" s="195">
        <f>B155</f>
        <v>158352.27453553185</v>
      </c>
      <c r="J179" s="195">
        <f>C155</f>
        <v>35189394.341229305</v>
      </c>
      <c r="K179" s="195">
        <f>D155</f>
        <v>-52784.091511843944</v>
      </c>
      <c r="L179" s="195">
        <f>E155</f>
        <v>-158352.27453553185</v>
      </c>
      <c r="M179" s="195">
        <v>0</v>
      </c>
      <c r="N179" s="157">
        <f>F155</f>
        <v>70378788.682458609</v>
      </c>
      <c r="P179" s="130" t="s">
        <v>127</v>
      </c>
      <c r="R179" s="121">
        <v>0</v>
      </c>
      <c r="T179" s="166">
        <f t="shared" si="66"/>
        <v>5.4772072397264365E-2</v>
      </c>
      <c r="AJ179" s="173"/>
    </row>
    <row r="180" spans="1:36" ht="15.75" thickBot="1" x14ac:dyDescent="0.3">
      <c r="AJ180" s="173"/>
    </row>
    <row r="181" spans="1:36" ht="16.5" thickBot="1" x14ac:dyDescent="0.3">
      <c r="A181" s="225" t="s">
        <v>72</v>
      </c>
      <c r="B181" s="226"/>
      <c r="C181" s="226"/>
      <c r="D181" s="227"/>
      <c r="E181" s="20"/>
      <c r="F181" s="168" t="s">
        <v>138</v>
      </c>
      <c r="G181" s="168" t="s">
        <v>139</v>
      </c>
      <c r="H181" s="169" t="s">
        <v>140</v>
      </c>
      <c r="I181" s="168" t="s">
        <v>141</v>
      </c>
      <c r="J181" s="170" t="s">
        <v>146</v>
      </c>
      <c r="K181" s="242" t="s">
        <v>147</v>
      </c>
      <c r="L181" s="243"/>
      <c r="M181" s="168" t="s">
        <v>142</v>
      </c>
      <c r="N181" s="168" t="s">
        <v>150</v>
      </c>
      <c r="O181" s="191">
        <f>MIN(J182:J184)</f>
        <v>2.7108156173171794E-2</v>
      </c>
      <c r="AJ181" s="173"/>
    </row>
    <row r="182" spans="1:36" ht="15.75" thickBot="1" x14ac:dyDescent="0.3">
      <c r="A182" s="231" t="s">
        <v>149</v>
      </c>
      <c r="B182" s="231"/>
      <c r="C182" s="231"/>
      <c r="D182" s="165">
        <f>G172*$O$4+H172*$O$5+I172*$O$6+J172*$O$7+K172*$O$8+L172*$O$9+M172*$O$10+N172*$O$11-R172</f>
        <v>3.7252902984619141E-9</v>
      </c>
      <c r="E182" s="20"/>
      <c r="F182" s="237">
        <v>1</v>
      </c>
      <c r="G182" s="139">
        <v>1</v>
      </c>
      <c r="H182" s="139">
        <f>AI143</f>
        <v>14196094.892065959</v>
      </c>
      <c r="I182" s="139">
        <f>M123-K123</f>
        <v>384829.9573832904</v>
      </c>
      <c r="J182" s="203">
        <f>I182/H182</f>
        <v>2.7108156173171794E-2</v>
      </c>
      <c r="K182" s="239">
        <f>K123+$J$182*H182</f>
        <v>3000048.0000000005</v>
      </c>
      <c r="L182" s="240"/>
      <c r="M182" s="139">
        <f>M66</f>
        <v>3000048.0000000005</v>
      </c>
      <c r="AJ182" s="173"/>
    </row>
    <row r="183" spans="1:36" ht="15.75" thickBot="1" x14ac:dyDescent="0.3">
      <c r="A183" s="231" t="s">
        <v>88</v>
      </c>
      <c r="B183" s="231"/>
      <c r="C183" s="231"/>
      <c r="D183" s="165">
        <f t="shared" ref="D183:D189" si="73">G173*$O$4+H173*$O$5+I173*$O$6+J173*$O$7+K173*$O$8+L173*$O$9+M173*$O$10+N173*$O$11-R173</f>
        <v>1.3096723705530167E-10</v>
      </c>
      <c r="E183" s="20"/>
      <c r="F183" s="238"/>
      <c r="G183" s="139">
        <v>2</v>
      </c>
      <c r="H183" s="139">
        <f>-AI146</f>
        <v>-5803905.1079340428</v>
      </c>
      <c r="I183" s="139">
        <f t="shared" ref="I183:I187" si="74">M124-K124</f>
        <v>-1349437.6393031641</v>
      </c>
      <c r="J183" s="167">
        <f t="shared" ref="J183:J187" si="75">I183/H183</f>
        <v>0.23250511753861353</v>
      </c>
      <c r="K183" s="239">
        <f t="shared" ref="K183:K187" si="76">K124+$J$182*H183</f>
        <v>-1807943.526776982</v>
      </c>
      <c r="L183" s="240"/>
      <c r="M183" s="139">
        <f t="shared" ref="M183:M187" si="77">M67</f>
        <v>-3000048.0000000005</v>
      </c>
      <c r="AJ183" s="173"/>
    </row>
    <row r="184" spans="1:36" ht="15.75" thickBot="1" x14ac:dyDescent="0.3">
      <c r="A184" s="231" t="s">
        <v>89</v>
      </c>
      <c r="B184" s="231"/>
      <c r="C184" s="231"/>
      <c r="D184" s="165">
        <f t="shared" si="73"/>
        <v>3.092281986027956E-11</v>
      </c>
      <c r="E184" s="20"/>
      <c r="F184" s="237">
        <v>2</v>
      </c>
      <c r="G184" s="139">
        <v>2</v>
      </c>
      <c r="H184" s="139">
        <f>AI152</f>
        <v>-5803905.1079340382</v>
      </c>
      <c r="I184" s="139">
        <f t="shared" si="74"/>
        <v>-349483.51930316375</v>
      </c>
      <c r="J184" s="167">
        <f t="shared" si="75"/>
        <v>6.0215236604301774E-2</v>
      </c>
      <c r="K184" s="239">
        <f t="shared" si="76"/>
        <v>-1807943.5267769818</v>
      </c>
      <c r="L184" s="240"/>
      <c r="M184" s="139">
        <f t="shared" si="77"/>
        <v>-2000093.8800000001</v>
      </c>
      <c r="AJ184" s="173"/>
    </row>
    <row r="185" spans="1:36" ht="15.75" thickBot="1" x14ac:dyDescent="0.3">
      <c r="A185" s="231" t="s">
        <v>90</v>
      </c>
      <c r="B185" s="231"/>
      <c r="C185" s="231"/>
      <c r="D185" s="165">
        <f t="shared" si="73"/>
        <v>4.1909515857696533E-9</v>
      </c>
      <c r="E185" s="20"/>
      <c r="F185" s="238"/>
      <c r="G185" s="139">
        <v>3</v>
      </c>
      <c r="H185" s="139">
        <f>AI155</f>
        <v>0</v>
      </c>
      <c r="I185" s="139">
        <f t="shared" si="74"/>
        <v>0</v>
      </c>
      <c r="J185" s="167" t="e">
        <f t="shared" si="75"/>
        <v>#DIV/0!</v>
      </c>
      <c r="K185" s="239">
        <f t="shared" si="76"/>
        <v>2000093.8800000004</v>
      </c>
      <c r="L185" s="240"/>
      <c r="M185" s="139">
        <f t="shared" si="77"/>
        <v>2000093.8800000001</v>
      </c>
      <c r="AJ185" s="173"/>
    </row>
    <row r="186" spans="1:36" ht="15.75" thickBot="1" x14ac:dyDescent="0.3">
      <c r="A186" s="231" t="s">
        <v>91</v>
      </c>
      <c r="B186" s="231"/>
      <c r="C186" s="231"/>
      <c r="D186" s="165">
        <f t="shared" si="73"/>
        <v>1.0186340659856796E-10</v>
      </c>
      <c r="E186" s="20"/>
      <c r="F186" s="237">
        <v>3</v>
      </c>
      <c r="G186" s="139">
        <v>3</v>
      </c>
      <c r="H186" s="139">
        <f>AI161</f>
        <v>0</v>
      </c>
      <c r="I186" s="139">
        <f>M127-K127</f>
        <v>999954.11999999871</v>
      </c>
      <c r="J186" s="167" t="e">
        <f t="shared" si="75"/>
        <v>#DIV/0!</v>
      </c>
      <c r="K186" s="239">
        <f t="shared" si="76"/>
        <v>2000093.8800000018</v>
      </c>
      <c r="L186" s="240"/>
      <c r="M186" s="139">
        <f t="shared" si="77"/>
        <v>3000048.0000000005</v>
      </c>
      <c r="AJ186" s="173"/>
    </row>
    <row r="187" spans="1:36" ht="15.75" thickBot="1" x14ac:dyDescent="0.3">
      <c r="A187" s="231" t="s">
        <v>92</v>
      </c>
      <c r="B187" s="231"/>
      <c r="C187" s="231"/>
      <c r="D187" s="165">
        <f t="shared" si="73"/>
        <v>-1.0368239600211382E-10</v>
      </c>
      <c r="E187" s="20"/>
      <c r="F187" s="238"/>
      <c r="G187" s="139">
        <v>4</v>
      </c>
      <c r="H187" s="139">
        <f>AI164</f>
        <v>0</v>
      </c>
      <c r="I187" s="139">
        <f t="shared" si="74"/>
        <v>0</v>
      </c>
      <c r="J187" s="167" t="e">
        <f t="shared" si="75"/>
        <v>#DIV/0!</v>
      </c>
      <c r="K187" s="239">
        <f t="shared" si="76"/>
        <v>-3000048.0000000009</v>
      </c>
      <c r="L187" s="240"/>
      <c r="M187" s="139">
        <f t="shared" si="77"/>
        <v>-3000048.0000000005</v>
      </c>
      <c r="AJ187" s="173"/>
    </row>
    <row r="188" spans="1:36" ht="15.75" thickBot="1" x14ac:dyDescent="0.3">
      <c r="A188" s="231" t="s">
        <v>93</v>
      </c>
      <c r="B188" s="231"/>
      <c r="C188" s="231"/>
      <c r="D188" s="165">
        <f t="shared" si="73"/>
        <v>7.4505805969238281E-9</v>
      </c>
      <c r="AJ188" s="173"/>
    </row>
    <row r="189" spans="1:36" ht="15.75" thickBot="1" x14ac:dyDescent="0.3">
      <c r="A189" s="231" t="s">
        <v>129</v>
      </c>
      <c r="B189" s="231"/>
      <c r="C189" s="231"/>
      <c r="D189" s="165">
        <f t="shared" si="73"/>
        <v>9.3132257461547852E-10</v>
      </c>
      <c r="AJ189" s="173"/>
    </row>
    <row r="190" spans="1:36" ht="15.75" thickBot="1" x14ac:dyDescent="0.3">
      <c r="A190" s="187"/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  <c r="AA190" s="187"/>
      <c r="AB190" s="187"/>
      <c r="AC190" s="187"/>
      <c r="AD190" s="187"/>
      <c r="AE190" s="187"/>
      <c r="AF190" s="187"/>
      <c r="AG190" s="187"/>
      <c r="AH190" s="187"/>
      <c r="AI190" s="187"/>
      <c r="AJ190" s="188"/>
    </row>
    <row r="191" spans="1:36" ht="15.75" thickBot="1" x14ac:dyDescent="0.3">
      <c r="A191" s="244" t="s">
        <v>152</v>
      </c>
      <c r="B191" s="245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  <c r="AA191" s="171"/>
      <c r="AB191" s="171"/>
      <c r="AC191" s="171"/>
      <c r="AD191" s="171"/>
      <c r="AE191" s="171"/>
      <c r="AF191" s="171"/>
      <c r="AG191" s="171"/>
      <c r="AH191" s="171"/>
      <c r="AI191" s="171"/>
      <c r="AJ191" s="172"/>
    </row>
    <row r="192" spans="1:36" x14ac:dyDescent="0.25">
      <c r="A192" s="249" t="s">
        <v>43</v>
      </c>
      <c r="B192" s="251" t="s">
        <v>45</v>
      </c>
      <c r="C192" s="251"/>
      <c r="D192" s="251" t="s">
        <v>46</v>
      </c>
      <c r="E192" s="251"/>
      <c r="F192" s="235" t="s">
        <v>44</v>
      </c>
      <c r="G192" s="235" t="s">
        <v>130</v>
      </c>
      <c r="H192" s="235"/>
      <c r="I192" s="235"/>
      <c r="J192" s="246" t="s">
        <v>131</v>
      </c>
      <c r="K192" s="235"/>
      <c r="L192" s="247"/>
      <c r="P192" s="209"/>
      <c r="Q192" s="209"/>
      <c r="R192" s="209"/>
      <c r="S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173"/>
    </row>
    <row r="193" spans="1:56" x14ac:dyDescent="0.25">
      <c r="A193" s="250"/>
      <c r="B193" s="97" t="s">
        <v>53</v>
      </c>
      <c r="C193" s="97" t="s">
        <v>54</v>
      </c>
      <c r="D193" s="97" t="s">
        <v>53</v>
      </c>
      <c r="E193" s="97" t="s">
        <v>54</v>
      </c>
      <c r="F193" s="236"/>
      <c r="G193" s="98" t="s">
        <v>115</v>
      </c>
      <c r="H193" s="98" t="s">
        <v>116</v>
      </c>
      <c r="I193" s="98" t="s">
        <v>117</v>
      </c>
      <c r="J193" s="204" t="s">
        <v>115</v>
      </c>
      <c r="K193" s="98" t="s">
        <v>116</v>
      </c>
      <c r="L193" s="212" t="s">
        <v>117</v>
      </c>
      <c r="P193" s="205"/>
      <c r="Q193" s="210"/>
      <c r="R193" s="210"/>
      <c r="S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173"/>
    </row>
    <row r="194" spans="1:56" x14ac:dyDescent="0.25">
      <c r="A194" s="174">
        <v>1</v>
      </c>
      <c r="B194" s="147">
        <v>0</v>
      </c>
      <c r="C194" s="147">
        <v>0</v>
      </c>
      <c r="D194" s="147">
        <f>$B$19</f>
        <v>0</v>
      </c>
      <c r="E194" s="147">
        <f>$B$13</f>
        <v>500</v>
      </c>
      <c r="F194" s="107">
        <f>SQRT(((D194-B194)^2)+((E194-C194)^2))</f>
        <v>500</v>
      </c>
      <c r="G194" s="100">
        <f>AI201</f>
        <v>-33388.981636886921</v>
      </c>
      <c r="H194" s="137">
        <f>AI202</f>
        <v>40000.000000992062</v>
      </c>
      <c r="I194" s="137">
        <f>AI203</f>
        <v>-33388.981636762619</v>
      </c>
      <c r="J194" s="207">
        <f>AI204</f>
        <v>33388.981636886921</v>
      </c>
      <c r="K194" s="137">
        <f>AI205</f>
        <v>-40000.000000992062</v>
      </c>
      <c r="L194" s="213">
        <f>AI206</f>
        <v>20033388.982132778</v>
      </c>
      <c r="P194" s="206"/>
      <c r="Q194" s="211"/>
      <c r="R194" s="211"/>
      <c r="S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173"/>
    </row>
    <row r="195" spans="1:56" x14ac:dyDescent="0.25">
      <c r="A195" s="174">
        <v>2</v>
      </c>
      <c r="B195" s="147">
        <f>$D$19</f>
        <v>0</v>
      </c>
      <c r="C195" s="147">
        <f>$E$19</f>
        <v>500</v>
      </c>
      <c r="D195" s="147">
        <f>$F$13</f>
        <v>600</v>
      </c>
      <c r="E195" s="147">
        <f>$D$13</f>
        <v>300</v>
      </c>
      <c r="F195" s="107">
        <f>SQRT(((D195-B195)^2)+((E195-C195)^2))</f>
        <v>632.45553203367592</v>
      </c>
      <c r="G195" s="100">
        <f>AI210</f>
        <v>10558.523072617934</v>
      </c>
      <c r="H195" s="137">
        <f>AI211</f>
        <v>-31675.56921783082</v>
      </c>
      <c r="I195" s="137">
        <f>AI212</f>
        <v>-20033388.982132725</v>
      </c>
      <c r="J195" s="207">
        <f>AI213</f>
        <v>-10558.523072617934</v>
      </c>
      <c r="K195" s="137">
        <f>AI214</f>
        <v>31675.56921783082</v>
      </c>
      <c r="L195" s="213">
        <f>AI215</f>
        <v>0</v>
      </c>
      <c r="P195" s="206"/>
      <c r="Q195" s="211"/>
      <c r="R195" s="211"/>
      <c r="S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173"/>
    </row>
    <row r="196" spans="1:56" ht="15.75" thickBot="1" x14ac:dyDescent="0.3">
      <c r="A196" s="175">
        <v>3</v>
      </c>
      <c r="B196" s="65">
        <f>$D$20</f>
        <v>600</v>
      </c>
      <c r="C196" s="65">
        <f>$E$20</f>
        <v>300</v>
      </c>
      <c r="D196" s="65">
        <f>$B$21</f>
        <v>600</v>
      </c>
      <c r="E196" s="65">
        <v>0</v>
      </c>
      <c r="F196" s="141">
        <f>SQRT(((D196-B196)^2)+((E196-C196)^2))</f>
        <v>300</v>
      </c>
      <c r="G196" s="105">
        <f>AI219</f>
        <v>33388.981636888493</v>
      </c>
      <c r="H196" s="101">
        <f>AI220</f>
        <v>0</v>
      </c>
      <c r="I196" s="101">
        <f>AI221</f>
        <v>0</v>
      </c>
      <c r="J196" s="208">
        <f>AI222</f>
        <v>-33388.981636888493</v>
      </c>
      <c r="K196" s="101">
        <f>AI223</f>
        <v>0</v>
      </c>
      <c r="L196" s="214">
        <f>AI224</f>
        <v>0</v>
      </c>
      <c r="P196" s="206"/>
      <c r="Q196" s="211"/>
      <c r="R196" s="211"/>
      <c r="S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173"/>
    </row>
    <row r="197" spans="1:56" ht="15.75" thickBot="1" x14ac:dyDescent="0.3">
      <c r="A197" s="176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173"/>
    </row>
    <row r="198" spans="1:56" x14ac:dyDescent="0.25">
      <c r="A198" s="177" t="s">
        <v>118</v>
      </c>
      <c r="B198" s="108">
        <f>(D194-B194)/F194</f>
        <v>0</v>
      </c>
      <c r="C198" s="109" t="s">
        <v>119</v>
      </c>
      <c r="D198" s="108">
        <f>$B$7+0.5*$B$9</f>
        <v>23.1</v>
      </c>
      <c r="E198" s="109" t="s">
        <v>30</v>
      </c>
      <c r="F198" s="110">
        <f>2*((($B$6*($B$7)^3)/12)+($B$6*$B$7)*($B$9+2*$B$7-0.5*$B$7-D198)^2)+($B$8*($B$9)^3)/12</f>
        <v>9069.1586666666681</v>
      </c>
      <c r="G198" s="109" t="s">
        <v>120</v>
      </c>
      <c r="H198" s="150">
        <f>4*$B$14*F198/F194</f>
        <v>152361865.60000002</v>
      </c>
      <c r="I198" s="109" t="s">
        <v>121</v>
      </c>
      <c r="J198" s="111">
        <f>6*$B$14*F198/(F194^2)</f>
        <v>457085.59680000006</v>
      </c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173"/>
    </row>
    <row r="199" spans="1:56" x14ac:dyDescent="0.25">
      <c r="A199" s="178" t="s">
        <v>122</v>
      </c>
      <c r="B199" s="112">
        <f>(E194-C194)/F194</f>
        <v>1</v>
      </c>
      <c r="C199" s="113" t="s">
        <v>13</v>
      </c>
      <c r="D199" s="114">
        <f>(2*$B$6*$B$7)+($B$9*$B$8)</f>
        <v>32.6</v>
      </c>
      <c r="E199" s="113" t="s">
        <v>123</v>
      </c>
      <c r="F199" s="151">
        <f>$B$14*D199/F194</f>
        <v>136920</v>
      </c>
      <c r="G199" s="113" t="s">
        <v>124</v>
      </c>
      <c r="H199" s="151">
        <f>2*$B$14*F198/F194</f>
        <v>76180932.800000012</v>
      </c>
      <c r="I199" s="113" t="s">
        <v>125</v>
      </c>
      <c r="J199" s="115">
        <f>12*$B$14*F198/(F194^3)</f>
        <v>1828.3423872000003</v>
      </c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173"/>
    </row>
    <row r="200" spans="1:56" x14ac:dyDescent="0.25">
      <c r="A200" s="179">
        <f>G201</f>
        <v>1</v>
      </c>
      <c r="B200" s="112">
        <f>G202</f>
        <v>2</v>
      </c>
      <c r="C200" s="112">
        <f>G203</f>
        <v>3</v>
      </c>
      <c r="D200" s="112">
        <f>G204</f>
        <v>7</v>
      </c>
      <c r="E200" s="112">
        <f>G205</f>
        <v>8</v>
      </c>
      <c r="F200" s="112">
        <f>G206</f>
        <v>9</v>
      </c>
      <c r="G200" s="113"/>
      <c r="H200" s="113"/>
      <c r="I200" s="113"/>
      <c r="J200" s="116">
        <v>1</v>
      </c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173"/>
      <c r="AY200">
        <f>AX201</f>
        <v>1</v>
      </c>
      <c r="AZ200">
        <f>AX202</f>
        <v>2</v>
      </c>
      <c r="BA200">
        <f>AX203</f>
        <v>3</v>
      </c>
      <c r="BB200">
        <f>AX204</f>
        <v>7</v>
      </c>
      <c r="BC200">
        <f>AX205</f>
        <v>8</v>
      </c>
      <c r="BD200">
        <f>AX206</f>
        <v>9</v>
      </c>
    </row>
    <row r="201" spans="1:56" x14ac:dyDescent="0.25">
      <c r="A201" s="180">
        <f>(F199*B198^2+J199*B199^2)</f>
        <v>1828.3423872000003</v>
      </c>
      <c r="B201" s="112">
        <f>(F199-J199)*B198*B199</f>
        <v>0</v>
      </c>
      <c r="C201" s="112">
        <f>-J198*B199</f>
        <v>-457085.59680000006</v>
      </c>
      <c r="D201" s="112">
        <f>-(F199*B198^2+J199*B199^2)</f>
        <v>-1828.3423872000003</v>
      </c>
      <c r="E201" s="112">
        <f>-(F199-J199)*B198*B199</f>
        <v>0</v>
      </c>
      <c r="F201" s="112">
        <f>-J198*B199</f>
        <v>-457085.59680000006</v>
      </c>
      <c r="G201" s="112">
        <v>1</v>
      </c>
      <c r="H201" s="113"/>
      <c r="I201" s="113"/>
      <c r="J201" s="117"/>
      <c r="K201" s="99"/>
      <c r="L201" s="120">
        <f>F199</f>
        <v>136920</v>
      </c>
      <c r="M201" s="120">
        <v>0</v>
      </c>
      <c r="N201" s="120">
        <v>0</v>
      </c>
      <c r="O201" s="120">
        <f>-F199</f>
        <v>-136920</v>
      </c>
      <c r="P201" s="120">
        <v>0</v>
      </c>
      <c r="Q201" s="119">
        <v>0</v>
      </c>
      <c r="R201" s="99"/>
      <c r="S201" s="120">
        <f>B198</f>
        <v>0</v>
      </c>
      <c r="T201" s="120">
        <f>B199</f>
        <v>1</v>
      </c>
      <c r="U201" s="120">
        <v>0</v>
      </c>
      <c r="V201" s="120">
        <v>0</v>
      </c>
      <c r="W201" s="120">
        <v>0</v>
      </c>
      <c r="X201" s="119">
        <v>0</v>
      </c>
      <c r="Y201" s="99"/>
      <c r="Z201" s="120">
        <f>L201*S201+M201*S202+N201*S203+O201*S204+P201*S205+Q201*S206</f>
        <v>0</v>
      </c>
      <c r="AA201" s="120">
        <f>L201*T201+M201*T202+N201*T203+O201*T204+P201*T205+Q201*T206</f>
        <v>136920</v>
      </c>
      <c r="AB201" s="120">
        <f>L201*U201+M201*U202+N201*U203+O201*U204+P201*U205+Q201*U206</f>
        <v>0</v>
      </c>
      <c r="AC201" s="120">
        <f>L201*V201+M201*V202+N201*V203+O201*V204+P201*V205+Q201*V206</f>
        <v>0</v>
      </c>
      <c r="AD201" s="120">
        <f>L201*W201+M201*W202+N201*W203+O201*W204+P201*W205+Q201*W206</f>
        <v>-136920</v>
      </c>
      <c r="AE201" s="119">
        <f>L201*X201+M201*X202+N201*X203+O201*X204+P201*X205+Q201*X206</f>
        <v>0</v>
      </c>
      <c r="AF201" s="99"/>
      <c r="AG201" s="121">
        <v>0</v>
      </c>
      <c r="AH201" s="121"/>
      <c r="AI201" s="121">
        <f>Z201*AG201+AA201*AG202+AB201*AG203+AC201*AG204+AD201*AG205+AE201*AG206</f>
        <v>-33388.981636886921</v>
      </c>
      <c r="AJ201" s="173"/>
      <c r="AX201">
        <f t="shared" ref="AX201:AX206" si="78">G201</f>
        <v>1</v>
      </c>
      <c r="AY201">
        <f>AX201*1000+AY200</f>
        <v>1001</v>
      </c>
      <c r="AZ201">
        <f>AX201*1000+AZ200</f>
        <v>1002</v>
      </c>
      <c r="BA201">
        <f>AX201*1000+BA200</f>
        <v>1003</v>
      </c>
      <c r="BB201">
        <f>AX201*1000+BB200</f>
        <v>1007</v>
      </c>
      <c r="BC201">
        <f>AX201*1000+BC200</f>
        <v>1008</v>
      </c>
      <c r="BD201">
        <f>AX201*1000+BD200</f>
        <v>1009</v>
      </c>
    </row>
    <row r="202" spans="1:56" x14ac:dyDescent="0.25">
      <c r="A202" s="179">
        <f>(F199-J199)*B198*B199</f>
        <v>0</v>
      </c>
      <c r="B202" s="122">
        <f>(F199*B199^2+J199*B198^2)</f>
        <v>136920</v>
      </c>
      <c r="C202" s="112">
        <f>J198*B198</f>
        <v>0</v>
      </c>
      <c r="D202" s="112">
        <f>-(F199-J199)*B198*B199</f>
        <v>0</v>
      </c>
      <c r="E202" s="112">
        <f>-(F199*B199^2+J199*B198^2)</f>
        <v>-136920</v>
      </c>
      <c r="F202" s="112">
        <f>J198*B198</f>
        <v>0</v>
      </c>
      <c r="G202" s="112">
        <v>2</v>
      </c>
      <c r="H202" s="113"/>
      <c r="I202" s="113"/>
      <c r="J202" s="117"/>
      <c r="K202" s="99"/>
      <c r="L202" s="120">
        <v>0</v>
      </c>
      <c r="M202" s="120">
        <f>J199</f>
        <v>1828.3423872000003</v>
      </c>
      <c r="N202" s="120">
        <f>J198</f>
        <v>457085.59680000006</v>
      </c>
      <c r="O202" s="120">
        <v>0</v>
      </c>
      <c r="P202" s="120">
        <f>-J199</f>
        <v>-1828.3423872000003</v>
      </c>
      <c r="Q202" s="119">
        <f>J198</f>
        <v>457085.59680000006</v>
      </c>
      <c r="R202" s="99"/>
      <c r="S202" s="120">
        <f>-B199</f>
        <v>-1</v>
      </c>
      <c r="T202" s="120">
        <f>B198</f>
        <v>0</v>
      </c>
      <c r="U202" s="120">
        <v>0</v>
      </c>
      <c r="V202" s="120">
        <v>0</v>
      </c>
      <c r="W202" s="120">
        <v>0</v>
      </c>
      <c r="X202" s="119">
        <v>0</v>
      </c>
      <c r="Y202" s="99"/>
      <c r="Z202" s="120">
        <f>L202*S201+M202*S202+N202*S203+O202*S204+P202*S205+Q202*S206</f>
        <v>-1828.3423872000003</v>
      </c>
      <c r="AA202" s="120">
        <f>L202*T201+M202*T202+N202*T203+O202*T204+P202*T205+Q202*T206</f>
        <v>0</v>
      </c>
      <c r="AB202" s="120">
        <f>L202*U201+M202*U202+N202*U203+O202*U204+P202*U205+Q202*U206</f>
        <v>457085.59680000006</v>
      </c>
      <c r="AC202" s="120">
        <f>L202*V201+M202*V202+N202*V203+O202*V204+P202*V205+Q202*V206</f>
        <v>1828.3423872000003</v>
      </c>
      <c r="AD202" s="120">
        <f>L202*W201+M202*W202+N202*W203+O202*W204+P202*W205+Q202*W206</f>
        <v>0</v>
      </c>
      <c r="AE202" s="119">
        <f>L202*X201+M202*X202+N202*X203+O202*X204+P202*X205+Q202*X206</f>
        <v>457085.59680000006</v>
      </c>
      <c r="AF202" s="99"/>
      <c r="AG202" s="121">
        <v>0</v>
      </c>
      <c r="AH202" s="121"/>
      <c r="AI202" s="121">
        <f>Z202*AG201+AA202*AG202+AB202*AG203+AC202*AG204+AD202*AG205+AE202*AG206</f>
        <v>40000.000000992062</v>
      </c>
      <c r="AJ202" s="173"/>
      <c r="AX202">
        <f t="shared" si="78"/>
        <v>2</v>
      </c>
      <c r="AY202">
        <f>AX202*1000+AY200</f>
        <v>2001</v>
      </c>
      <c r="AZ202">
        <f>AX202*1000+AZ200</f>
        <v>2002</v>
      </c>
      <c r="BA202">
        <f>AX202*1000+BA200</f>
        <v>2003</v>
      </c>
      <c r="BB202">
        <f>AX202*1000+BB200</f>
        <v>2007</v>
      </c>
      <c r="BC202">
        <f>AX202*1000+BC200</f>
        <v>2008</v>
      </c>
      <c r="BD202">
        <f>AX202*1000+BD200</f>
        <v>2009</v>
      </c>
    </row>
    <row r="203" spans="1:56" x14ac:dyDescent="0.25">
      <c r="A203" s="179">
        <f>-J198*B199</f>
        <v>-457085.59680000006</v>
      </c>
      <c r="B203" s="112">
        <f>J198*B198</f>
        <v>0</v>
      </c>
      <c r="C203" s="122">
        <f>H198</f>
        <v>152361865.60000002</v>
      </c>
      <c r="D203" s="112">
        <f>J198*B199</f>
        <v>457085.59680000006</v>
      </c>
      <c r="E203" s="112">
        <f>-J198*B198</f>
        <v>0</v>
      </c>
      <c r="F203" s="112">
        <f>H199</f>
        <v>76180932.800000012</v>
      </c>
      <c r="G203" s="112">
        <v>3</v>
      </c>
      <c r="H203" s="113"/>
      <c r="I203" s="113"/>
      <c r="J203" s="117"/>
      <c r="K203" s="99"/>
      <c r="L203" s="120">
        <v>0</v>
      </c>
      <c r="M203" s="120">
        <f>J198</f>
        <v>457085.59680000006</v>
      </c>
      <c r="N203" s="120">
        <f>H198</f>
        <v>152361865.60000002</v>
      </c>
      <c r="O203" s="120">
        <v>0</v>
      </c>
      <c r="P203" s="120">
        <f>-J198</f>
        <v>-457085.59680000006</v>
      </c>
      <c r="Q203" s="119">
        <f>H199</f>
        <v>76180932.800000012</v>
      </c>
      <c r="R203" s="99"/>
      <c r="S203" s="120">
        <v>0</v>
      </c>
      <c r="T203" s="120">
        <v>0</v>
      </c>
      <c r="U203" s="120">
        <v>1</v>
      </c>
      <c r="V203" s="120">
        <v>0</v>
      </c>
      <c r="W203" s="120">
        <v>0</v>
      </c>
      <c r="X203" s="119">
        <v>0</v>
      </c>
      <c r="Y203" s="99"/>
      <c r="Z203" s="120">
        <f>L203*S201+M203*S202+N203*S203+O203*S204+P203*S205+Q203*S206</f>
        <v>-457085.59680000006</v>
      </c>
      <c r="AA203" s="120">
        <f>L203*T201+M203*T202+N203*T203+O203*T204+P203*T205+Q203*T206</f>
        <v>0</v>
      </c>
      <c r="AB203" s="120">
        <f>L203*U201+M203*U202+N203*U203+O203*U204+P203*U205+Q203*U206</f>
        <v>152361865.60000002</v>
      </c>
      <c r="AC203" s="120">
        <f>L203*V201+M203*V202+N203*V203+O203*V204+P203*V205+Q203*V206</f>
        <v>457085.59680000006</v>
      </c>
      <c r="AD203" s="120">
        <f>L203*W201+M203*W202+N203*W203+O203*W204+P203*W205+Q203*W206</f>
        <v>0</v>
      </c>
      <c r="AE203" s="119">
        <f>L203*X201+M203*X202+N203*X203+O203*X204+P203*X205+Q203*X206</f>
        <v>76180932.800000012</v>
      </c>
      <c r="AF203" s="99"/>
      <c r="AG203" s="166">
        <f>S3</f>
        <v>-0.64365412097097663</v>
      </c>
      <c r="AH203" s="121"/>
      <c r="AI203" s="121">
        <f>Z203*AG201+AA203*AG202+AB203*AG203+AC203*AG204+AD203*AG205+AE203*AG206</f>
        <v>-33388.981636762619</v>
      </c>
      <c r="AJ203" s="173"/>
      <c r="AX203">
        <f t="shared" si="78"/>
        <v>3</v>
      </c>
      <c r="AY203">
        <f>AX203*1000+AY200</f>
        <v>3001</v>
      </c>
      <c r="AZ203">
        <f>AX203*1000+AZ200</f>
        <v>3002</v>
      </c>
      <c r="BA203">
        <f>AX203*1000+BA200</f>
        <v>3003</v>
      </c>
      <c r="BB203">
        <f>AX203*1000+BB200</f>
        <v>3007</v>
      </c>
      <c r="BC203">
        <f>AX203*1000+BC200</f>
        <v>3008</v>
      </c>
      <c r="BD203">
        <f>AX203*1000+BD200</f>
        <v>3009</v>
      </c>
    </row>
    <row r="204" spans="1:56" ht="15.75" x14ac:dyDescent="0.25">
      <c r="A204" s="179">
        <f>-(F199*B198^2+J199*B199^2)</f>
        <v>-1828.3423872000003</v>
      </c>
      <c r="B204" s="112">
        <f>-(F199-J199)*B198*B199</f>
        <v>0</v>
      </c>
      <c r="C204" s="112">
        <f>J198*B199</f>
        <v>457085.59680000006</v>
      </c>
      <c r="D204" s="122">
        <f>(F199*B198^2+J199*B199^2)</f>
        <v>1828.3423872000003</v>
      </c>
      <c r="E204" s="112">
        <f>(F199-J199)*B198*B199</f>
        <v>0</v>
      </c>
      <c r="F204" s="112">
        <f>J198*B199</f>
        <v>457085.59680000006</v>
      </c>
      <c r="G204" s="112">
        <v>7</v>
      </c>
      <c r="H204" s="113"/>
      <c r="I204" s="113"/>
      <c r="J204" s="117"/>
      <c r="K204" s="99"/>
      <c r="L204" s="120">
        <f>-F199</f>
        <v>-136920</v>
      </c>
      <c r="M204" s="120">
        <v>0</v>
      </c>
      <c r="N204" s="120">
        <v>0</v>
      </c>
      <c r="O204" s="120">
        <f>F199</f>
        <v>136920</v>
      </c>
      <c r="P204" s="120">
        <v>0</v>
      </c>
      <c r="Q204" s="119">
        <v>0</v>
      </c>
      <c r="R204" s="123" t="s">
        <v>126</v>
      </c>
      <c r="S204" s="120">
        <v>0</v>
      </c>
      <c r="T204" s="120">
        <v>0</v>
      </c>
      <c r="U204" s="120">
        <v>0</v>
      </c>
      <c r="V204" s="120">
        <f>B198</f>
        <v>0</v>
      </c>
      <c r="W204" s="120">
        <f>B199</f>
        <v>1</v>
      </c>
      <c r="X204" s="119">
        <v>0</v>
      </c>
      <c r="Y204" s="124" t="s">
        <v>58</v>
      </c>
      <c r="Z204" s="120">
        <f>L204*S201+M204*S202+N204*S203+O204*S204+P204*S205+Q204*S206</f>
        <v>0</v>
      </c>
      <c r="AA204" s="120">
        <f>L204*T201+M204*T202+N204*T203+O204*T204+P204*T205+Q204*T206</f>
        <v>-136920</v>
      </c>
      <c r="AB204" s="120">
        <f>L204*U201+M204*U202+N204*U203+O204*U204+P204*U205+Q204*U206</f>
        <v>0</v>
      </c>
      <c r="AC204" s="120">
        <f>L204*V201+M204*V202+N204*V203+O204*V204+P204*V205+Q204*V206</f>
        <v>0</v>
      </c>
      <c r="AD204" s="120">
        <f>L204*W201+M204*W202+N204*W203+O204*W204+P204*W205+Q204*W206</f>
        <v>136920</v>
      </c>
      <c r="AE204" s="119">
        <f>L204*X201+M204*X202+N204*X203+O204*X204+P204*X205+Q204*X206</f>
        <v>0</v>
      </c>
      <c r="AF204" s="123" t="s">
        <v>126</v>
      </c>
      <c r="AG204" s="166">
        <f>S5</f>
        <v>277.85243716301852</v>
      </c>
      <c r="AH204" s="123" t="s">
        <v>58</v>
      </c>
      <c r="AI204" s="121">
        <f>Z204*AG201+AA204*AG202+AB204*AG203+AC204*AG204+AD204*AG205+AE204*AG206</f>
        <v>33388.981636886921</v>
      </c>
      <c r="AJ204" s="173"/>
      <c r="AX204">
        <f t="shared" si="78"/>
        <v>7</v>
      </c>
      <c r="AY204">
        <f>AX204*1000+AY200</f>
        <v>7001</v>
      </c>
      <c r="AZ204">
        <f>AX204*1000+AZ200</f>
        <v>7002</v>
      </c>
      <c r="BA204">
        <f>AX204*1000+BA200</f>
        <v>7003</v>
      </c>
      <c r="BB204">
        <f>AX204*1000+BB200</f>
        <v>7007</v>
      </c>
      <c r="BC204">
        <f>AX204*1000+BC200</f>
        <v>7008</v>
      </c>
      <c r="BD204">
        <f>AX204*1000+BD200</f>
        <v>7009</v>
      </c>
    </row>
    <row r="205" spans="1:56" x14ac:dyDescent="0.25">
      <c r="A205" s="179">
        <f>-(F199-J199)*B198*B199</f>
        <v>0</v>
      </c>
      <c r="B205" s="112">
        <f>-(F199*B199^2+J199*B198^2)</f>
        <v>-136920</v>
      </c>
      <c r="C205" s="112">
        <f>-J198*B198</f>
        <v>0</v>
      </c>
      <c r="D205" s="112">
        <f>(F199-J199)*B198*B199</f>
        <v>0</v>
      </c>
      <c r="E205" s="122">
        <f>(F199*B199^2+J199*B198^2)</f>
        <v>136920</v>
      </c>
      <c r="F205" s="112">
        <f>-J198*B198</f>
        <v>0</v>
      </c>
      <c r="G205" s="112">
        <v>8</v>
      </c>
      <c r="H205" s="113"/>
      <c r="I205" s="113"/>
      <c r="J205" s="117"/>
      <c r="K205" s="99"/>
      <c r="L205" s="120">
        <v>0</v>
      </c>
      <c r="M205" s="120">
        <f>-J199</f>
        <v>-1828.3423872000003</v>
      </c>
      <c r="N205" s="120">
        <f>-J198</f>
        <v>-457085.59680000006</v>
      </c>
      <c r="O205" s="120">
        <v>0</v>
      </c>
      <c r="P205" s="120">
        <f>J199</f>
        <v>1828.3423872000003</v>
      </c>
      <c r="Q205" s="119">
        <f>-J198</f>
        <v>-457085.59680000006</v>
      </c>
      <c r="R205" s="99"/>
      <c r="S205" s="120">
        <v>0</v>
      </c>
      <c r="T205" s="120">
        <v>0</v>
      </c>
      <c r="U205" s="120">
        <v>0</v>
      </c>
      <c r="V205" s="120">
        <f>-B199</f>
        <v>-1</v>
      </c>
      <c r="W205" s="120">
        <f>B198</f>
        <v>0</v>
      </c>
      <c r="X205" s="119">
        <v>0</v>
      </c>
      <c r="Y205" s="99"/>
      <c r="Z205" s="120">
        <f>L205*S201+M205*S202+N205*S203+O205*S204+P205*S205+Q205*S206</f>
        <v>1828.3423872000003</v>
      </c>
      <c r="AA205" s="120">
        <f>L205*T201+M205*T202+N205*T203+O205*T204+P205*T205+Q205*T206</f>
        <v>0</v>
      </c>
      <c r="AB205" s="120">
        <f>L205*U201+M205*U202+N205*U203+O205*U204+P205*U205+Q205*U206</f>
        <v>-457085.59680000006</v>
      </c>
      <c r="AC205" s="120">
        <f>L205*V201+M205*V202+N205*V203+O205*V204+P205*V205+Q205*V206</f>
        <v>-1828.3423872000003</v>
      </c>
      <c r="AD205" s="120">
        <f>L205*W201+M205*W202+N205*W203+O205*W204+P205*W205+Q205*W206</f>
        <v>0</v>
      </c>
      <c r="AE205" s="119">
        <f>L205*X201+M205*X202+N205*X203+O205*X204+P205*X205+Q205*X206</f>
        <v>-457085.59680000006</v>
      </c>
      <c r="AF205" s="99"/>
      <c r="AG205" s="166">
        <f>S6</f>
        <v>0.2438575930242983</v>
      </c>
      <c r="AH205" s="121"/>
      <c r="AI205" s="121">
        <f>Z205*AG201+AA205*AG202+AB205*AG203+AC205*AG204+AD205*AG205+AE205*AG206</f>
        <v>-40000.000000992062</v>
      </c>
      <c r="AJ205" s="173"/>
      <c r="AX205">
        <f t="shared" si="78"/>
        <v>8</v>
      </c>
      <c r="AY205">
        <f>AX205*1000+AY200</f>
        <v>8001</v>
      </c>
      <c r="AZ205">
        <f>AX205*1000+AZ200</f>
        <v>8002</v>
      </c>
      <c r="BA205">
        <f>AX205*1000+BA200</f>
        <v>8003</v>
      </c>
      <c r="BB205">
        <f>AX205*1000+BB200</f>
        <v>8007</v>
      </c>
      <c r="BC205">
        <f>AX205*1000+BC200</f>
        <v>8008</v>
      </c>
      <c r="BD205">
        <f>AX205*1000+BD200</f>
        <v>8009</v>
      </c>
    </row>
    <row r="206" spans="1:56" ht="15.75" thickBot="1" x14ac:dyDescent="0.3">
      <c r="A206" s="181">
        <f>-J198*B199</f>
        <v>-457085.59680000006</v>
      </c>
      <c r="B206" s="125">
        <f>J198*B198</f>
        <v>0</v>
      </c>
      <c r="C206" s="125">
        <f>H199</f>
        <v>76180932.800000012</v>
      </c>
      <c r="D206" s="125">
        <f>J198*B199</f>
        <v>457085.59680000006</v>
      </c>
      <c r="E206" s="125">
        <f>-J198*B198</f>
        <v>0</v>
      </c>
      <c r="F206" s="126">
        <f>H198</f>
        <v>152361865.60000002</v>
      </c>
      <c r="G206" s="125">
        <v>9</v>
      </c>
      <c r="H206" s="127"/>
      <c r="I206" s="127"/>
      <c r="J206" s="128"/>
      <c r="K206" s="99"/>
      <c r="L206" s="120">
        <v>0</v>
      </c>
      <c r="M206" s="120">
        <f>J198</f>
        <v>457085.59680000006</v>
      </c>
      <c r="N206" s="120">
        <f>H199</f>
        <v>76180932.800000012</v>
      </c>
      <c r="O206" s="120">
        <v>0</v>
      </c>
      <c r="P206" s="120">
        <f>-J198</f>
        <v>-457085.59680000006</v>
      </c>
      <c r="Q206" s="119">
        <f>H198</f>
        <v>152361865.60000002</v>
      </c>
      <c r="R206" s="99"/>
      <c r="S206" s="120">
        <v>0</v>
      </c>
      <c r="T206" s="120">
        <v>0</v>
      </c>
      <c r="U206" s="120">
        <v>0</v>
      </c>
      <c r="V206" s="120">
        <v>0</v>
      </c>
      <c r="W206" s="120">
        <v>0</v>
      </c>
      <c r="X206" s="119">
        <v>1</v>
      </c>
      <c r="Y206" s="99"/>
      <c r="Z206" s="120">
        <f>L206*S201+M206*S202+N206*S203+O206*S204+P206*S205+Q206*S206</f>
        <v>-457085.59680000006</v>
      </c>
      <c r="AA206" s="120">
        <f>L206*T201+M206*T202+N206*T203+O206*T204+P206*T205+Q206*T206</f>
        <v>0</v>
      </c>
      <c r="AB206" s="120">
        <f>L206*U201+M206*U202+N206*U203+O206*U204+P206*U205+Q206*U206</f>
        <v>76180932.800000012</v>
      </c>
      <c r="AC206" s="120">
        <f>L206*V201+M206*V202+N206*V203+O206*V204+P206*V205+Q206*V206</f>
        <v>457085.59680000006</v>
      </c>
      <c r="AD206" s="120">
        <f>L206*W201+M206*W202+N206*W203+O206*W204+P206*W205+Q206*W206</f>
        <v>0</v>
      </c>
      <c r="AE206" s="119">
        <f>L206*X201+M206*X202+N206*X203+O206*X204+P206*X205+Q206*X206</f>
        <v>152361865.60000002</v>
      </c>
      <c r="AF206" s="99"/>
      <c r="AG206" s="121">
        <f>S7</f>
        <v>-0.38024466631844001</v>
      </c>
      <c r="AH206" s="121"/>
      <c r="AI206" s="121">
        <f>Z206*AG201+AA206*AG202+AB206*AG203+AC206*AG204+AD206*AG205+AE206*AG206</f>
        <v>20033388.982132778</v>
      </c>
      <c r="AJ206" s="173"/>
      <c r="AX206">
        <f t="shared" si="78"/>
        <v>9</v>
      </c>
      <c r="AY206">
        <f>AX206*1000+AY200</f>
        <v>9001</v>
      </c>
      <c r="AZ206">
        <f>AX206*1000+AZ200</f>
        <v>9002</v>
      </c>
      <c r="BA206">
        <f>AX206*1000+BA200</f>
        <v>9003</v>
      </c>
      <c r="BB206">
        <f>AX206*1000+BB200</f>
        <v>9007</v>
      </c>
      <c r="BC206">
        <f>AX206*1000+BC200</f>
        <v>9008</v>
      </c>
      <c r="BD206">
        <f>AX206*1000+BD200</f>
        <v>9009</v>
      </c>
    </row>
    <row r="207" spans="1:56" x14ac:dyDescent="0.25">
      <c r="A207" s="177" t="s">
        <v>118</v>
      </c>
      <c r="B207" s="108">
        <f>(D195-B195)/F195</f>
        <v>0.94868329805051377</v>
      </c>
      <c r="C207" s="109" t="s">
        <v>119</v>
      </c>
      <c r="D207" s="108">
        <f>$B$7+0.5*$B$10</f>
        <v>18.535</v>
      </c>
      <c r="E207" s="109" t="s">
        <v>30</v>
      </c>
      <c r="F207" s="110">
        <f>2*((($B$6*($B$7)^3)/12)+($B$6*$B$7)*($B$10+2*$B$7-0.5*$B$7-D207)^2)+($B$8*($B$10)^3)/12</f>
        <v>5298.9826476250009</v>
      </c>
      <c r="G207" s="109" t="s">
        <v>120</v>
      </c>
      <c r="H207" s="150">
        <f>4*$B$14*F207/F195</f>
        <v>70378788.682458609</v>
      </c>
      <c r="I207" s="109" t="s">
        <v>121</v>
      </c>
      <c r="J207" s="111">
        <f>6*$B$14*F207/(F195^2)</f>
        <v>166917.95340018751</v>
      </c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173"/>
    </row>
    <row r="208" spans="1:56" x14ac:dyDescent="0.25">
      <c r="A208" s="178" t="s">
        <v>122</v>
      </c>
      <c r="B208" s="112">
        <f>(E195-C195)/F195</f>
        <v>-0.31622776601683789</v>
      </c>
      <c r="C208" s="113" t="s">
        <v>13</v>
      </c>
      <c r="D208" s="114">
        <f>(2*$B$6*$B$7)+($B$10*$B$8)</f>
        <v>28.035000000000004</v>
      </c>
      <c r="E208" s="113" t="s">
        <v>123</v>
      </c>
      <c r="F208" s="151">
        <f>$B$14*D208/F195</f>
        <v>93087.176912961542</v>
      </c>
      <c r="G208" s="113" t="s">
        <v>124</v>
      </c>
      <c r="H208" s="151">
        <f>2*$B$14*F207/F195</f>
        <v>35189394.341229305</v>
      </c>
      <c r="I208" s="113" t="s">
        <v>125</v>
      </c>
      <c r="J208" s="115">
        <f>12*$B$14*F207/(F195^3)</f>
        <v>527.84091511843951</v>
      </c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173"/>
    </row>
    <row r="209" spans="1:56" x14ac:dyDescent="0.25">
      <c r="A209" s="179">
        <f>G210</f>
        <v>7</v>
      </c>
      <c r="B209" s="112">
        <f>G211</f>
        <v>8</v>
      </c>
      <c r="C209" s="112">
        <f>G212</f>
        <v>9</v>
      </c>
      <c r="D209" s="112">
        <f>G213</f>
        <v>10</v>
      </c>
      <c r="E209" s="112">
        <f>G214</f>
        <v>11</v>
      </c>
      <c r="F209" s="112">
        <f>G215</f>
        <v>13</v>
      </c>
      <c r="G209" s="113"/>
      <c r="H209" s="113"/>
      <c r="I209" s="113"/>
      <c r="J209" s="116">
        <v>2</v>
      </c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173"/>
      <c r="AY209">
        <f>AX210</f>
        <v>7</v>
      </c>
      <c r="AZ209">
        <f>AX211</f>
        <v>8</v>
      </c>
      <c r="BA209">
        <f>AX212</f>
        <v>9</v>
      </c>
      <c r="BB209">
        <f>AX213</f>
        <v>10</v>
      </c>
      <c r="BC209">
        <f>AX214</f>
        <v>11</v>
      </c>
      <c r="BD209">
        <f>AX215</f>
        <v>13</v>
      </c>
    </row>
    <row r="210" spans="1:56" x14ac:dyDescent="0.25">
      <c r="A210" s="180">
        <f>(F208*B207^2+J208*B208^2)</f>
        <v>83831.243313177227</v>
      </c>
      <c r="B210" s="112">
        <f>(F208-J208)*B207*B208</f>
        <v>-27767.800799352925</v>
      </c>
      <c r="C210" s="112">
        <f>-J207*B208</f>
        <v>52784.091511843944</v>
      </c>
      <c r="D210" s="112">
        <f>-(F208*B207^2+J208*B208^2)</f>
        <v>-83831.243313177227</v>
      </c>
      <c r="E210" s="112">
        <f>-(F208-J208)*B207*B208</f>
        <v>27767.800799352925</v>
      </c>
      <c r="F210" s="112">
        <f>-J207*B208</f>
        <v>52784.091511843944</v>
      </c>
      <c r="G210" s="112">
        <v>7</v>
      </c>
      <c r="H210" s="113"/>
      <c r="I210" s="113"/>
      <c r="J210" s="117"/>
      <c r="K210" s="99"/>
      <c r="L210" s="120">
        <f>F208</f>
        <v>93087.176912961542</v>
      </c>
      <c r="M210" s="120">
        <v>0</v>
      </c>
      <c r="N210" s="120">
        <v>0</v>
      </c>
      <c r="O210" s="120">
        <f>-F208</f>
        <v>-93087.176912961542</v>
      </c>
      <c r="P210" s="120">
        <v>0</v>
      </c>
      <c r="Q210" s="119">
        <v>0</v>
      </c>
      <c r="R210" s="99"/>
      <c r="S210" s="120">
        <f>B207</f>
        <v>0.94868329805051377</v>
      </c>
      <c r="T210" s="120">
        <f>B208</f>
        <v>-0.31622776601683789</v>
      </c>
      <c r="U210" s="120">
        <v>0</v>
      </c>
      <c r="V210" s="120">
        <v>0</v>
      </c>
      <c r="W210" s="120">
        <v>0</v>
      </c>
      <c r="X210" s="119">
        <v>0</v>
      </c>
      <c r="Y210" s="99"/>
      <c r="Z210" s="120">
        <f>L210*S210+M210*S211+N210*S212+O210*S213+P210*S214+Q210*S215</f>
        <v>88310.25</v>
      </c>
      <c r="AA210" s="120">
        <f>L210*T210+M210*T211+N210*T212+O210*T213+P210*T214+Q210*T215</f>
        <v>-29436.749999999996</v>
      </c>
      <c r="AB210" s="120">
        <f>L210*U210+M210*U211+N210*U212+O210*U213+P210*U214+Q210*U215</f>
        <v>0</v>
      </c>
      <c r="AC210" s="120">
        <f>L210*V210+M210*V211+N210*V212+O210*V213+P210*V214+Q210*V215</f>
        <v>-88310.25</v>
      </c>
      <c r="AD210" s="120">
        <f>L210*W210+M210*W211+N210*W212+O210*W213+P210*W214+Q210*W215</f>
        <v>29436.749999999996</v>
      </c>
      <c r="AE210" s="119">
        <f>L210*X210+M210*X211+N210*X212+O210*X213+P210*X214+Q210*X215</f>
        <v>0</v>
      </c>
      <c r="AF210" s="99"/>
      <c r="AG210" s="166">
        <f>S5</f>
        <v>277.85243716301852</v>
      </c>
      <c r="AH210" s="121"/>
      <c r="AI210" s="121">
        <f>Z210*AG210+AA210*AG211+AB210*AG212+AC210*AG213+AD210*AG214+AE210*AG215</f>
        <v>10558.523072617934</v>
      </c>
      <c r="AJ210" s="173"/>
      <c r="AX210">
        <f t="shared" ref="AX210:AX215" si="79">G210</f>
        <v>7</v>
      </c>
      <c r="AY210">
        <f>AX210*1000+AY209</f>
        <v>7007</v>
      </c>
      <c r="AZ210">
        <f>AX210*1000+AZ209</f>
        <v>7008</v>
      </c>
      <c r="BA210">
        <f>AX210*1000+BA209</f>
        <v>7009</v>
      </c>
      <c r="BB210">
        <f>AX210*1000+BB209</f>
        <v>7010</v>
      </c>
      <c r="BC210">
        <f>AX210*1000+BC209</f>
        <v>7011</v>
      </c>
      <c r="BD210">
        <f>AX210*1000+BD209</f>
        <v>7013</v>
      </c>
    </row>
    <row r="211" spans="1:56" x14ac:dyDescent="0.25">
      <c r="A211" s="179">
        <f>(F208-J208)*B207*B208</f>
        <v>-27767.800799352925</v>
      </c>
      <c r="B211" s="122">
        <f>(F208*B208^2+J208*B207^2)</f>
        <v>9783.7745149027469</v>
      </c>
      <c r="C211" s="112">
        <f>J207*B207</f>
        <v>158352.27453553185</v>
      </c>
      <c r="D211" s="112">
        <f>-(F208-J208)*B207*B208</f>
        <v>27767.800799352925</v>
      </c>
      <c r="E211" s="112">
        <f>-(F208*B208^2+J208*B207^2)</f>
        <v>-9783.7745149027469</v>
      </c>
      <c r="F211" s="112">
        <f>J207*B207</f>
        <v>158352.27453553185</v>
      </c>
      <c r="G211" s="112">
        <v>8</v>
      </c>
      <c r="H211" s="113"/>
      <c r="I211" s="113"/>
      <c r="J211" s="117"/>
      <c r="K211" s="99"/>
      <c r="L211" s="120">
        <v>0</v>
      </c>
      <c r="M211" s="120">
        <f>J208</f>
        <v>527.84091511843951</v>
      </c>
      <c r="N211" s="120">
        <f>J207</f>
        <v>166917.95340018751</v>
      </c>
      <c r="O211" s="120">
        <v>0</v>
      </c>
      <c r="P211" s="120">
        <f>-J208</f>
        <v>-527.84091511843951</v>
      </c>
      <c r="Q211" s="119">
        <f>J207</f>
        <v>166917.95340018751</v>
      </c>
      <c r="R211" s="99"/>
      <c r="S211" s="120">
        <f>-B208</f>
        <v>0.31622776601683789</v>
      </c>
      <c r="T211" s="120">
        <f>B207</f>
        <v>0.94868329805051377</v>
      </c>
      <c r="U211" s="120">
        <v>0</v>
      </c>
      <c r="V211" s="120">
        <v>0</v>
      </c>
      <c r="W211" s="120">
        <v>0</v>
      </c>
      <c r="X211" s="119">
        <v>0</v>
      </c>
      <c r="Y211" s="99"/>
      <c r="Z211" s="120">
        <f>L211*S210+M211*S211+N211*S212+O211*S213+P211*S214+Q211*S215</f>
        <v>166.91795340018749</v>
      </c>
      <c r="AA211" s="120">
        <f>L211*T210+M211*T211+N211*T212+O211*T213+P211*T214+Q211*T215</f>
        <v>500.75386020056249</v>
      </c>
      <c r="AB211" s="120">
        <f>L211*U210+M211*U211+N211*U212+O211*U213+P211*U214+Q211*U215</f>
        <v>166917.95340018751</v>
      </c>
      <c r="AC211" s="120">
        <f>L211*V210+M211*V211+N211*V212+O211*V213+P211*V214+Q211*V215</f>
        <v>-166.91795340018749</v>
      </c>
      <c r="AD211" s="120">
        <f>L211*W210+M211*W211+N211*W212+O211*W213+P211*W214+Q211*W215</f>
        <v>-500.75386020056249</v>
      </c>
      <c r="AE211" s="119">
        <f>L211*X210+M211*X211+N211*X212+O211*X213+P211*X214+Q211*X215</f>
        <v>166917.95340018751</v>
      </c>
      <c r="AF211" s="99"/>
      <c r="AG211" s="166">
        <f>S6</f>
        <v>0.2438575930242983</v>
      </c>
      <c r="AH211" s="121"/>
      <c r="AI211" s="121">
        <f>Z211*AG210+AA211*AG211+AB211*AG212+AC211*AG213+AD211*AG214+AE211*AG215</f>
        <v>-31675.56921783082</v>
      </c>
      <c r="AJ211" s="173"/>
      <c r="AX211">
        <f t="shared" si="79"/>
        <v>8</v>
      </c>
      <c r="AY211">
        <f>AX211*1000+AY209</f>
        <v>8007</v>
      </c>
      <c r="AZ211">
        <f>AX211*1000+AZ209</f>
        <v>8008</v>
      </c>
      <c r="BA211">
        <f>AX211*1000+BA209</f>
        <v>8009</v>
      </c>
      <c r="BB211">
        <f>AX211*1000+BB209</f>
        <v>8010</v>
      </c>
      <c r="BC211">
        <f>AX211*1000+BC209</f>
        <v>8011</v>
      </c>
      <c r="BD211">
        <f>AX211*1000+BD209</f>
        <v>8013</v>
      </c>
    </row>
    <row r="212" spans="1:56" x14ac:dyDescent="0.25">
      <c r="A212" s="179">
        <f>-J207*B208</f>
        <v>52784.091511843944</v>
      </c>
      <c r="B212" s="112">
        <f>J207*B207</f>
        <v>158352.27453553185</v>
      </c>
      <c r="C212" s="122">
        <f>H207</f>
        <v>70378788.682458609</v>
      </c>
      <c r="D212" s="112">
        <f>J207*B208</f>
        <v>-52784.091511843944</v>
      </c>
      <c r="E212" s="112">
        <f>-J207*B207</f>
        <v>-158352.27453553185</v>
      </c>
      <c r="F212" s="112">
        <f>H208</f>
        <v>35189394.341229305</v>
      </c>
      <c r="G212" s="112">
        <v>9</v>
      </c>
      <c r="H212" s="113"/>
      <c r="I212" s="113"/>
      <c r="J212" s="117"/>
      <c r="K212" s="99"/>
      <c r="L212" s="120">
        <v>0</v>
      </c>
      <c r="M212" s="120">
        <f>J207</f>
        <v>166917.95340018751</v>
      </c>
      <c r="N212" s="120">
        <f>H207</f>
        <v>70378788.682458609</v>
      </c>
      <c r="O212" s="120">
        <v>0</v>
      </c>
      <c r="P212" s="120">
        <f>-J207</f>
        <v>-166917.95340018751</v>
      </c>
      <c r="Q212" s="119">
        <f>H208</f>
        <v>35189394.341229305</v>
      </c>
      <c r="R212" s="99"/>
      <c r="S212" s="120">
        <v>0</v>
      </c>
      <c r="T212" s="120">
        <v>0</v>
      </c>
      <c r="U212" s="120">
        <v>1</v>
      </c>
      <c r="V212" s="120">
        <v>0</v>
      </c>
      <c r="W212" s="120">
        <v>0</v>
      </c>
      <c r="X212" s="119">
        <v>0</v>
      </c>
      <c r="Y212" s="99"/>
      <c r="Z212" s="120">
        <f>L212*S210+M212*S211+N212*S212+O212*S213+P212*S214+Q212*S215</f>
        <v>52784.091511843944</v>
      </c>
      <c r="AA212" s="120">
        <f>L212*T210+M212*T211+N212*T212+O212*T213+P212*T214+Q212*T215</f>
        <v>158352.27453553185</v>
      </c>
      <c r="AB212" s="120">
        <f>L212*U210+M212*U211+N212*U212+O212*U213+P212*U214+Q212*U215</f>
        <v>70378788.682458609</v>
      </c>
      <c r="AC212" s="120">
        <f>L212*V210+M212*V211+N212*V212+O212*V213+P212*V214+Q212*V215</f>
        <v>-52784.091511843944</v>
      </c>
      <c r="AD212" s="120">
        <f>L212*W210+M212*W211+N212*W212+O212*W213+P212*W214+Q212*W215</f>
        <v>-158352.27453553185</v>
      </c>
      <c r="AE212" s="119">
        <f>L212*X210+M212*X211+N212*X212+O212*X213+P212*X214+Q212*X215</f>
        <v>35189394.341229305</v>
      </c>
      <c r="AF212" s="99"/>
      <c r="AG212" s="121">
        <f>S7</f>
        <v>-0.38024466631844001</v>
      </c>
      <c r="AH212" s="121"/>
      <c r="AI212" s="166">
        <f>Z212*AG210+AA212*AG211+AB212*AG212+AC212*AG213+AD212*AG214+AE212*AG215</f>
        <v>-20033388.982132725</v>
      </c>
      <c r="AJ212" s="173"/>
      <c r="AX212">
        <f t="shared" si="79"/>
        <v>9</v>
      </c>
      <c r="AY212">
        <f>AX212*1000+AY209</f>
        <v>9007</v>
      </c>
      <c r="AZ212">
        <f>AX212*1000+AZ209</f>
        <v>9008</v>
      </c>
      <c r="BA212">
        <f>AX212*1000+BA209</f>
        <v>9009</v>
      </c>
      <c r="BB212">
        <f>AX212*1000+BB209</f>
        <v>9010</v>
      </c>
      <c r="BC212">
        <f>AX212*1000+BC209</f>
        <v>9011</v>
      </c>
      <c r="BD212">
        <f>AX212*1000+BD209</f>
        <v>9013</v>
      </c>
    </row>
    <row r="213" spans="1:56" ht="15.75" x14ac:dyDescent="0.25">
      <c r="A213" s="179">
        <f>-(F208*B207^2+J208*B208^2)</f>
        <v>-83831.243313177227</v>
      </c>
      <c r="B213" s="112">
        <f>-(F208-J208)*B207*B208</f>
        <v>27767.800799352925</v>
      </c>
      <c r="C213" s="112">
        <f>J207*B208</f>
        <v>-52784.091511843944</v>
      </c>
      <c r="D213" s="122">
        <f>(F208*B207^2+J208*B208^2)</f>
        <v>83831.243313177227</v>
      </c>
      <c r="E213" s="112">
        <f>(F208-J208)*B207*B208</f>
        <v>-27767.800799352925</v>
      </c>
      <c r="F213" s="112">
        <f>J207*B208</f>
        <v>-52784.091511843944</v>
      </c>
      <c r="G213" s="112">
        <v>10</v>
      </c>
      <c r="H213" s="113"/>
      <c r="I213" s="113"/>
      <c r="J213" s="117"/>
      <c r="K213" s="99"/>
      <c r="L213" s="120">
        <f>-F208</f>
        <v>-93087.176912961542</v>
      </c>
      <c r="M213" s="120">
        <v>0</v>
      </c>
      <c r="N213" s="120">
        <v>0</v>
      </c>
      <c r="O213" s="120">
        <f>F208</f>
        <v>93087.176912961542</v>
      </c>
      <c r="P213" s="120">
        <v>0</v>
      </c>
      <c r="Q213" s="119">
        <v>0</v>
      </c>
      <c r="R213" s="123" t="s">
        <v>126</v>
      </c>
      <c r="S213" s="120">
        <v>0</v>
      </c>
      <c r="T213" s="120">
        <v>0</v>
      </c>
      <c r="U213" s="120">
        <v>0</v>
      </c>
      <c r="V213" s="120">
        <f>B207</f>
        <v>0.94868329805051377</v>
      </c>
      <c r="W213" s="120">
        <f>B208</f>
        <v>-0.31622776601683789</v>
      </c>
      <c r="X213" s="119">
        <v>0</v>
      </c>
      <c r="Y213" s="124" t="s">
        <v>58</v>
      </c>
      <c r="Z213" s="120">
        <f>L213*S210+M213*S211+N213*S212+O213*S213+P213*S214+Q213*S215</f>
        <v>-88310.25</v>
      </c>
      <c r="AA213" s="120">
        <f>L213*T210+M213*T211+N213*T212+O213*T213+P213*T214+Q213*T215</f>
        <v>29436.749999999996</v>
      </c>
      <c r="AB213" s="120">
        <f>L213*U210+M213*U211+N213*U212+O213*U213+P213*U214+Q213*U215</f>
        <v>0</v>
      </c>
      <c r="AC213" s="120">
        <f>L213*V210+M213*V211+N213*V212+O213*V213+P213*V214+Q213*V215</f>
        <v>88310.25</v>
      </c>
      <c r="AD213" s="120">
        <f>L213*W210+M213*W211+N213*W212+O213*W213+P213*W214+Q213*W215</f>
        <v>-29436.749999999996</v>
      </c>
      <c r="AE213" s="119">
        <f>L213*X210+M213*X211+N213*X212+O213*X213+P213*X214+Q213*X215</f>
        <v>0</v>
      </c>
      <c r="AF213" s="123" t="s">
        <v>126</v>
      </c>
      <c r="AG213" s="121">
        <f>S8</f>
        <v>277.60281808624148</v>
      </c>
      <c r="AH213" s="123" t="s">
        <v>58</v>
      </c>
      <c r="AI213" s="121">
        <f>Z213*AG210+AA213*AG211+AB213*AG212+AC213*AG213+AD213*AG214+AE213*AG215</f>
        <v>-10558.523072617934</v>
      </c>
      <c r="AJ213" s="173"/>
      <c r="AX213">
        <f t="shared" si="79"/>
        <v>10</v>
      </c>
      <c r="AY213">
        <f>AX213*1000+AY209</f>
        <v>10007</v>
      </c>
      <c r="AZ213">
        <f>AX213*1000+AZ209</f>
        <v>10008</v>
      </c>
      <c r="BA213">
        <f>AX213*1000+BA209</f>
        <v>10009</v>
      </c>
      <c r="BB213">
        <f>AX213*1000+BB209</f>
        <v>10010</v>
      </c>
      <c r="BC213">
        <f>AX213*1000+BC209</f>
        <v>10011</v>
      </c>
      <c r="BD213">
        <f>AX213*1000+BD209</f>
        <v>10013</v>
      </c>
    </row>
    <row r="214" spans="1:56" x14ac:dyDescent="0.25">
      <c r="A214" s="179">
        <f>-(F208-J208)*B207*B208</f>
        <v>27767.800799352925</v>
      </c>
      <c r="B214" s="112">
        <f>-(F208*B208^2+J208*B207^2)</f>
        <v>-9783.7745149027469</v>
      </c>
      <c r="C214" s="112">
        <f>-J207*B207</f>
        <v>-158352.27453553185</v>
      </c>
      <c r="D214" s="112">
        <f>(F208-J208)*B207*B208</f>
        <v>-27767.800799352925</v>
      </c>
      <c r="E214" s="122">
        <f>(F208*B208^2+J208*B207^2)</f>
        <v>9783.7745149027469</v>
      </c>
      <c r="F214" s="112">
        <f>-J207*B207</f>
        <v>-158352.27453553185</v>
      </c>
      <c r="G214" s="112">
        <v>11</v>
      </c>
      <c r="H214" s="113"/>
      <c r="I214" s="113"/>
      <c r="J214" s="117"/>
      <c r="K214" s="99"/>
      <c r="L214" s="120">
        <v>0</v>
      </c>
      <c r="M214" s="120">
        <f>-J208</f>
        <v>-527.84091511843951</v>
      </c>
      <c r="N214" s="120">
        <f>-J207</f>
        <v>-166917.95340018751</v>
      </c>
      <c r="O214" s="120">
        <v>0</v>
      </c>
      <c r="P214" s="120">
        <f>J208</f>
        <v>527.84091511843951</v>
      </c>
      <c r="Q214" s="119">
        <f>-J207</f>
        <v>-166917.95340018751</v>
      </c>
      <c r="R214" s="99"/>
      <c r="S214" s="120">
        <v>0</v>
      </c>
      <c r="T214" s="120">
        <v>0</v>
      </c>
      <c r="U214" s="120">
        <v>0</v>
      </c>
      <c r="V214" s="120">
        <f>-B208</f>
        <v>0.31622776601683789</v>
      </c>
      <c r="W214" s="120">
        <f>B207</f>
        <v>0.94868329805051377</v>
      </c>
      <c r="X214" s="119">
        <v>0</v>
      </c>
      <c r="Y214" s="99"/>
      <c r="Z214" s="120">
        <f>L214*S210+M214*S211+N214*S212+O214*S213+P214*S214+Q214*S215</f>
        <v>-166.91795340018749</v>
      </c>
      <c r="AA214" s="120">
        <f>L214*T210+M214*T211+N214*T212+O214*T213+P214*T214+Q214*T215</f>
        <v>-500.75386020056249</v>
      </c>
      <c r="AB214" s="120">
        <f>L214*U210+M214*U211+N214*U212+O214*U213+P214*U214+Q214*U215</f>
        <v>-166917.95340018751</v>
      </c>
      <c r="AC214" s="120">
        <f>L214*V210+M214*V211+N214*V212+O214*V213+P214*V214+Q214*V215</f>
        <v>166.91795340018749</v>
      </c>
      <c r="AD214" s="120">
        <f>L214*W210+M214*W211+N214*W212+O214*W213+P214*W214+Q214*W215</f>
        <v>500.75386020056249</v>
      </c>
      <c r="AE214" s="119">
        <f>L214*X210+M214*X211+N214*X212+O214*X213+P214*X214+Q214*X215</f>
        <v>-166917.95340018751</v>
      </c>
      <c r="AF214" s="99"/>
      <c r="AG214" s="121">
        <f>S9</f>
        <v>-0.14631455581458586</v>
      </c>
      <c r="AH214" s="121"/>
      <c r="AI214" s="121">
        <f>Z214*AG210+AA214*AG211+AB214*AG212+AC214*AG213+AD214*AG214+AE214*AG215</f>
        <v>31675.56921783082</v>
      </c>
      <c r="AJ214" s="173"/>
      <c r="AX214">
        <f t="shared" si="79"/>
        <v>11</v>
      </c>
      <c r="AY214">
        <f>AX214*1000+AY209</f>
        <v>11007</v>
      </c>
      <c r="AZ214">
        <f>AX214*1000+AZ209</f>
        <v>11008</v>
      </c>
      <c r="BA214">
        <f>AX214*1000+BA209</f>
        <v>11009</v>
      </c>
      <c r="BB214">
        <f>AX214*1000+BB209</f>
        <v>11010</v>
      </c>
      <c r="BC214">
        <f>AX214*1000+BC209</f>
        <v>11011</v>
      </c>
      <c r="BD214">
        <f>AX214*1000+BD209</f>
        <v>11013</v>
      </c>
    </row>
    <row r="215" spans="1:56" ht="15.75" thickBot="1" x14ac:dyDescent="0.3">
      <c r="A215" s="181">
        <f>-J207*B208</f>
        <v>52784.091511843944</v>
      </c>
      <c r="B215" s="125">
        <f>J207*B207</f>
        <v>158352.27453553185</v>
      </c>
      <c r="C215" s="125">
        <f>H208</f>
        <v>35189394.341229305</v>
      </c>
      <c r="D215" s="125">
        <f>J207*B208</f>
        <v>-52784.091511843944</v>
      </c>
      <c r="E215" s="125">
        <f>-J207*B207</f>
        <v>-158352.27453553185</v>
      </c>
      <c r="F215" s="126">
        <f>H207</f>
        <v>70378788.682458609</v>
      </c>
      <c r="G215" s="125">
        <v>13</v>
      </c>
      <c r="H215" s="127"/>
      <c r="I215" s="127"/>
      <c r="J215" s="128"/>
      <c r="K215" s="99"/>
      <c r="L215" s="120">
        <v>0</v>
      </c>
      <c r="M215" s="120">
        <f>J207</f>
        <v>166917.95340018751</v>
      </c>
      <c r="N215" s="120">
        <f>H208</f>
        <v>35189394.341229305</v>
      </c>
      <c r="O215" s="120">
        <v>0</v>
      </c>
      <c r="P215" s="120">
        <f>-J207</f>
        <v>-166917.95340018751</v>
      </c>
      <c r="Q215" s="119">
        <f>H207</f>
        <v>70378788.682458609</v>
      </c>
      <c r="R215" s="99"/>
      <c r="S215" s="120">
        <v>0</v>
      </c>
      <c r="T215" s="120">
        <v>0</v>
      </c>
      <c r="U215" s="120">
        <v>0</v>
      </c>
      <c r="V215" s="120">
        <v>0</v>
      </c>
      <c r="W215" s="120">
        <v>0</v>
      </c>
      <c r="X215" s="119">
        <v>1</v>
      </c>
      <c r="Y215" s="99"/>
      <c r="Z215" s="120">
        <f>L215*S210+M215*S211+N215*S212+O215*S213+P215*S214+Q215*S215</f>
        <v>52784.091511843944</v>
      </c>
      <c r="AA215" s="120">
        <f>L215*T210+M215*T211+N215*T212+O215*T213+P215*T214+Q215*T215</f>
        <v>158352.27453553185</v>
      </c>
      <c r="AB215" s="120">
        <f>L215*U210+M215*U211+N215*U212+O215*U213+P215*U214+Q215*U215</f>
        <v>35189394.341229305</v>
      </c>
      <c r="AC215" s="120">
        <f>L215*V210+M215*V211+N215*V212+O215*V213+P215*V214+Q215*V215</f>
        <v>-52784.091511843944</v>
      </c>
      <c r="AD215" s="120">
        <f>L215*W210+M215*W211+N215*W212+O215*W213+P215*W214+Q215*W215</f>
        <v>-158352.27453553185</v>
      </c>
      <c r="AE215" s="119">
        <f>L215*X210+M215*X211+N215*X212+O215*X213+P215*X214+Q215*X215</f>
        <v>70378788.682458609</v>
      </c>
      <c r="AF215" s="99"/>
      <c r="AG215" s="121">
        <f>S11</f>
        <v>0.18905723151674989</v>
      </c>
      <c r="AH215" s="121"/>
      <c r="AI215" s="121">
        <f>Z215*AG210+AA215*AG211+AB215*AG212+AC215*AG213+AD215*AG214+AE215*AG215</f>
        <v>0</v>
      </c>
      <c r="AJ215" s="173"/>
      <c r="AX215">
        <f t="shared" si="79"/>
        <v>13</v>
      </c>
      <c r="AY215">
        <f>AX215*1000+AY209</f>
        <v>13007</v>
      </c>
      <c r="AZ215">
        <f>AX215*1000+AZ209</f>
        <v>13008</v>
      </c>
      <c r="BA215">
        <f>AX215*1000+BA209</f>
        <v>13009</v>
      </c>
      <c r="BB215">
        <f>AX215*1000+BB209</f>
        <v>13010</v>
      </c>
      <c r="BC215">
        <f>AX215*1000+BC209</f>
        <v>13011</v>
      </c>
      <c r="BD215">
        <f>AX215*1000+BD209</f>
        <v>13013</v>
      </c>
    </row>
    <row r="216" spans="1:56" x14ac:dyDescent="0.25">
      <c r="A216" s="177" t="s">
        <v>118</v>
      </c>
      <c r="B216" s="108">
        <f>(D196-B196)/F196</f>
        <v>0</v>
      </c>
      <c r="C216" s="109" t="s">
        <v>119</v>
      </c>
      <c r="D216" s="108">
        <f>$B$7+0.5*$B$11</f>
        <v>23.1</v>
      </c>
      <c r="E216" s="109" t="s">
        <v>30</v>
      </c>
      <c r="F216" s="110">
        <f>2*((($B$6*($B$7)^3)/12)+($B$6*$B$7)*($B$11+2*$B$7-0.5*$B$7-D216)^2)+($B$8*($B$11)^3)/12</f>
        <v>9069.1586666666681</v>
      </c>
      <c r="G216" s="109" t="s">
        <v>120</v>
      </c>
      <c r="H216" s="150">
        <f>4*$B$14*F216/F196</f>
        <v>253936442.66666672</v>
      </c>
      <c r="I216" s="109" t="s">
        <v>121</v>
      </c>
      <c r="J216" s="111">
        <f>6*$B$14*F216/(F196^2)</f>
        <v>1269682.2133333336</v>
      </c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173"/>
    </row>
    <row r="217" spans="1:56" x14ac:dyDescent="0.25">
      <c r="A217" s="178" t="s">
        <v>122</v>
      </c>
      <c r="B217" s="112">
        <f>(E196-C196)/F196</f>
        <v>-1</v>
      </c>
      <c r="C217" s="113" t="s">
        <v>13</v>
      </c>
      <c r="D217" s="114">
        <f>(2*$B$6*$B$7)+($B$11*$B$8)</f>
        <v>32.6</v>
      </c>
      <c r="E217" s="113" t="s">
        <v>123</v>
      </c>
      <c r="F217" s="151">
        <f>$B$14*D217/F196</f>
        <v>228200</v>
      </c>
      <c r="G217" s="113" t="s">
        <v>124</v>
      </c>
      <c r="H217" s="151">
        <f>2*$B$14*F216/F196</f>
        <v>126968221.33333336</v>
      </c>
      <c r="I217" s="113" t="s">
        <v>125</v>
      </c>
      <c r="J217" s="115">
        <f>12*$B$14*F216/(F196^3)</f>
        <v>8464.5480888888906</v>
      </c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173"/>
    </row>
    <row r="218" spans="1:56" x14ac:dyDescent="0.25">
      <c r="A218" s="179">
        <f>G219</f>
        <v>10</v>
      </c>
      <c r="B218" s="112">
        <f>G220</f>
        <v>11</v>
      </c>
      <c r="C218" s="112">
        <f>G221</f>
        <v>12</v>
      </c>
      <c r="D218" s="112">
        <f>G222</f>
        <v>4</v>
      </c>
      <c r="E218" s="112">
        <f>G223</f>
        <v>5</v>
      </c>
      <c r="F218" s="112">
        <f>G224</f>
        <v>6</v>
      </c>
      <c r="G218" s="113"/>
      <c r="H218" s="113"/>
      <c r="I218" s="113"/>
      <c r="J218" s="116">
        <v>3</v>
      </c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173"/>
      <c r="AY218">
        <f>AX219</f>
        <v>10</v>
      </c>
      <c r="AZ218">
        <f>AX220</f>
        <v>11</v>
      </c>
      <c r="BA218">
        <f>AX221</f>
        <v>12</v>
      </c>
      <c r="BB218">
        <f>AX222</f>
        <v>4</v>
      </c>
      <c r="BC218">
        <f>AX223</f>
        <v>5</v>
      </c>
      <c r="BD218">
        <f>AX224</f>
        <v>6</v>
      </c>
    </row>
    <row r="219" spans="1:56" x14ac:dyDescent="0.25">
      <c r="A219" s="180">
        <f>(F217*B216^2+J217*B217^2)</f>
        <v>8464.5480888888906</v>
      </c>
      <c r="B219" s="112">
        <f>(F217-J217)*B216*B217</f>
        <v>0</v>
      </c>
      <c r="C219" s="112">
        <f>-J216*B217</f>
        <v>1269682.2133333336</v>
      </c>
      <c r="D219" s="112">
        <f>-(F217*B216^2+J217*B217^2)</f>
        <v>-8464.5480888888906</v>
      </c>
      <c r="E219" s="112">
        <f>-(F217-J217)*B216*B217</f>
        <v>0</v>
      </c>
      <c r="F219" s="112">
        <f>-J216*B217</f>
        <v>1269682.2133333336</v>
      </c>
      <c r="G219" s="112">
        <v>10</v>
      </c>
      <c r="H219" s="113"/>
      <c r="I219" s="113"/>
      <c r="J219" s="117"/>
      <c r="K219" s="99"/>
      <c r="L219" s="120">
        <f>F217</f>
        <v>228200</v>
      </c>
      <c r="M219" s="120">
        <v>0</v>
      </c>
      <c r="N219" s="120">
        <v>0</v>
      </c>
      <c r="O219" s="120">
        <f>-F217</f>
        <v>-228200</v>
      </c>
      <c r="P219" s="120">
        <v>0</v>
      </c>
      <c r="Q219" s="119">
        <v>0</v>
      </c>
      <c r="R219" s="99"/>
      <c r="S219" s="120">
        <f>B216</f>
        <v>0</v>
      </c>
      <c r="T219" s="120">
        <f>B217</f>
        <v>-1</v>
      </c>
      <c r="U219" s="120">
        <v>0</v>
      </c>
      <c r="V219" s="120">
        <v>0</v>
      </c>
      <c r="W219" s="120">
        <v>0</v>
      </c>
      <c r="X219" s="119">
        <v>0</v>
      </c>
      <c r="Y219" s="99"/>
      <c r="Z219" s="120">
        <f>L219*S219+M219*S220+N219*S221+O219*S222+P219*S223+Q219*S224</f>
        <v>0</v>
      </c>
      <c r="AA219" s="120">
        <f>L219*T219+M219*T220+N219*T221+O219*T222+P219*T223+Q219*T224</f>
        <v>-228200</v>
      </c>
      <c r="AB219" s="120">
        <f>L219*U219+M219*U220+N219*U221+O219*U222+P219*U223+Q219*U224</f>
        <v>0</v>
      </c>
      <c r="AC219" s="120">
        <f>L219*V219+M219*V220+N219*V221+O219*V222+P219*V223+Q219*V224</f>
        <v>0</v>
      </c>
      <c r="AD219" s="120">
        <f>L219*W219+M219*W220+N219*W221+O219*W222+P219*W223+Q219*W224</f>
        <v>228200</v>
      </c>
      <c r="AE219" s="119">
        <f>L219*X219+M219*X220+N219*X221+O219*X222+P219*X223+Q219*X224</f>
        <v>0</v>
      </c>
      <c r="AF219" s="99"/>
      <c r="AG219" s="121">
        <f>S8</f>
        <v>277.60281808624148</v>
      </c>
      <c r="AH219" s="121"/>
      <c r="AI219" s="121">
        <f>Z219*AG219+AA219*AG220+AB219*AG221+AC219*AG222+AD219*AG223+AE219*AG224</f>
        <v>33388.981636888493</v>
      </c>
      <c r="AJ219" s="173"/>
      <c r="AX219">
        <f t="shared" ref="AX219:AX224" si="80">G219</f>
        <v>10</v>
      </c>
      <c r="AY219">
        <f>AX219*1000+AY218</f>
        <v>10010</v>
      </c>
      <c r="AZ219">
        <f>AX219*1000+AZ218</f>
        <v>10011</v>
      </c>
      <c r="BA219">
        <f>AX219*1000+BA218</f>
        <v>10012</v>
      </c>
      <c r="BB219">
        <f>AX219*1000+BB218</f>
        <v>10004</v>
      </c>
      <c r="BC219">
        <f>AX219*1000+BC218</f>
        <v>10005</v>
      </c>
      <c r="BD219">
        <f>AX219*1000+BD218</f>
        <v>10006</v>
      </c>
    </row>
    <row r="220" spans="1:56" x14ac:dyDescent="0.25">
      <c r="A220" s="179">
        <f>(F217-J217)*B216*B217</f>
        <v>0</v>
      </c>
      <c r="B220" s="122">
        <f>(F217*B217^2+J217*B216^2)</f>
        <v>228200</v>
      </c>
      <c r="C220" s="112">
        <f>J216*B216</f>
        <v>0</v>
      </c>
      <c r="D220" s="112">
        <f>-(F217-J217)*B216*B217</f>
        <v>0</v>
      </c>
      <c r="E220" s="112">
        <f>-(F217*B217^2+J217*B216^2)</f>
        <v>-228200</v>
      </c>
      <c r="F220" s="112">
        <f>J216*B216</f>
        <v>0</v>
      </c>
      <c r="G220" s="112">
        <v>11</v>
      </c>
      <c r="H220" s="113"/>
      <c r="I220" s="113"/>
      <c r="J220" s="117"/>
      <c r="K220" s="99"/>
      <c r="L220" s="120">
        <v>0</v>
      </c>
      <c r="M220" s="120">
        <f>J217</f>
        <v>8464.5480888888906</v>
      </c>
      <c r="N220" s="120">
        <f>J216</f>
        <v>1269682.2133333336</v>
      </c>
      <c r="O220" s="120">
        <v>0</v>
      </c>
      <c r="P220" s="120">
        <f>-J217</f>
        <v>-8464.5480888888906</v>
      </c>
      <c r="Q220" s="119">
        <f>J216</f>
        <v>1269682.2133333336</v>
      </c>
      <c r="R220" s="99"/>
      <c r="S220" s="120">
        <f>-B217</f>
        <v>1</v>
      </c>
      <c r="T220" s="120">
        <f>B216</f>
        <v>0</v>
      </c>
      <c r="U220" s="120">
        <v>0</v>
      </c>
      <c r="V220" s="120">
        <v>0</v>
      </c>
      <c r="W220" s="120">
        <v>0</v>
      </c>
      <c r="X220" s="119">
        <v>0</v>
      </c>
      <c r="Y220" s="99"/>
      <c r="Z220" s="120">
        <f>L220*S219+M220*S220+N220*S221+O220*S222+P220*S223+Q220*S224</f>
        <v>8464.5480888888906</v>
      </c>
      <c r="AA220" s="120">
        <f>L220*T219+M220*T220+N220*T221+O220*T222+P220*T223+Q220*T224</f>
        <v>0</v>
      </c>
      <c r="AB220" s="120">
        <f>L220*U219+M220*U220+N220*U221+O220*U222+P220*U223+Q220*U224</f>
        <v>1269682.2133333336</v>
      </c>
      <c r="AC220" s="120">
        <f>L220*V219+M220*V220+N220*V221+O220*V222+P220*V223+Q220*V224</f>
        <v>-8464.5480888888906</v>
      </c>
      <c r="AD220" s="120">
        <f>L220*W219+M220*W220+N220*W221+O220*W222+P220*W223+Q220*W224</f>
        <v>0</v>
      </c>
      <c r="AE220" s="119">
        <f>L220*X219+M220*X220+N220*X221+O220*X222+P220*X223+Q220*X224</f>
        <v>1269682.2133333336</v>
      </c>
      <c r="AF220" s="99"/>
      <c r="AG220" s="121">
        <f>S9</f>
        <v>-0.14631455581458586</v>
      </c>
      <c r="AH220" s="121"/>
      <c r="AI220" s="166">
        <f>Z220*AG219+AA220*AG220+AB220*AG221+AC220*AG222+AD220*AG223+AE220*AG224</f>
        <v>0</v>
      </c>
      <c r="AJ220" s="173"/>
      <c r="AX220">
        <f t="shared" si="80"/>
        <v>11</v>
      </c>
      <c r="AY220">
        <f>AX220*1000+AY218</f>
        <v>11010</v>
      </c>
      <c r="AZ220">
        <f>AX220*1000+AZ218</f>
        <v>11011</v>
      </c>
      <c r="BA220">
        <f>AX220*1000+BA218</f>
        <v>11012</v>
      </c>
      <c r="BB220">
        <f>AX220*1000+BB218</f>
        <v>11004</v>
      </c>
      <c r="BC220">
        <f>AX220*1000+BC218</f>
        <v>11005</v>
      </c>
      <c r="BD220">
        <f>AX220*1000+BD218</f>
        <v>11006</v>
      </c>
    </row>
    <row r="221" spans="1:56" x14ac:dyDescent="0.25">
      <c r="A221" s="179">
        <f>-J216*B217</f>
        <v>1269682.2133333336</v>
      </c>
      <c r="B221" s="112">
        <f>J216*B216</f>
        <v>0</v>
      </c>
      <c r="C221" s="122">
        <f>H216</f>
        <v>253936442.66666672</v>
      </c>
      <c r="D221" s="112">
        <f>J216*B217</f>
        <v>-1269682.2133333336</v>
      </c>
      <c r="E221" s="112">
        <f>-J216*B216</f>
        <v>0</v>
      </c>
      <c r="F221" s="112">
        <f>H217</f>
        <v>126968221.33333336</v>
      </c>
      <c r="G221" s="112">
        <v>12</v>
      </c>
      <c r="H221" s="113"/>
      <c r="I221" s="113"/>
      <c r="J221" s="117"/>
      <c r="K221" s="99"/>
      <c r="L221" s="120">
        <v>0</v>
      </c>
      <c r="M221" s="120">
        <f>J216</f>
        <v>1269682.2133333336</v>
      </c>
      <c r="N221" s="120">
        <f>H216</f>
        <v>253936442.66666672</v>
      </c>
      <c r="O221" s="120">
        <v>0</v>
      </c>
      <c r="P221" s="120">
        <f>-J216</f>
        <v>-1269682.2133333336</v>
      </c>
      <c r="Q221" s="119">
        <f>H217</f>
        <v>126968221.33333336</v>
      </c>
      <c r="R221" s="99"/>
      <c r="S221" s="120">
        <v>0</v>
      </c>
      <c r="T221" s="120">
        <v>0</v>
      </c>
      <c r="U221" s="120">
        <v>1</v>
      </c>
      <c r="V221" s="120">
        <v>0</v>
      </c>
      <c r="W221" s="120">
        <v>0</v>
      </c>
      <c r="X221" s="119">
        <v>0</v>
      </c>
      <c r="Y221" s="99"/>
      <c r="Z221" s="120">
        <f>L221*S219+M221*S220+N221*S221+O221*S222+P221*S223+Q221*S224</f>
        <v>1269682.2133333336</v>
      </c>
      <c r="AA221" s="120">
        <f>L221*T219+M221*T220+N221*T221+O221*T222+P221*T223+Q221*T224</f>
        <v>0</v>
      </c>
      <c r="AB221" s="120">
        <f>L221*U219+M221*U220+N221*U221+O221*U222+P221*U223+Q221*U224</f>
        <v>253936442.66666672</v>
      </c>
      <c r="AC221" s="120">
        <f>L221*V219+M221*V220+N221*V221+O221*V222+P221*V223+Q221*V224</f>
        <v>-1269682.2133333336</v>
      </c>
      <c r="AD221" s="120">
        <f>L221*W219+M221*W220+N221*W221+O221*W222+P221*W223+Q221*W224</f>
        <v>0</v>
      </c>
      <c r="AE221" s="119">
        <f>L221*X219+M221*X220+N221*X221+O221*X222+P221*X223+Q221*X224</f>
        <v>126968221.33333336</v>
      </c>
      <c r="AF221" s="99"/>
      <c r="AG221" s="121">
        <f>S10</f>
        <v>-0.92534272695413822</v>
      </c>
      <c r="AH221" s="121"/>
      <c r="AI221" s="121">
        <f>Z221*AG219+AA221*AG220+AB221*AG221+AC221*AG222+AD221*AG223+AE221*AG224</f>
        <v>0</v>
      </c>
      <c r="AJ221" s="173"/>
      <c r="AX221">
        <f t="shared" si="80"/>
        <v>12</v>
      </c>
      <c r="AY221">
        <f>AX221*1000+AY218</f>
        <v>12010</v>
      </c>
      <c r="AZ221">
        <f>AX221*1000+AZ218</f>
        <v>12011</v>
      </c>
      <c r="BA221">
        <f>AX221*1000+BA218</f>
        <v>12012</v>
      </c>
      <c r="BB221">
        <f>AX221*1000+BB218</f>
        <v>12004</v>
      </c>
      <c r="BC221">
        <f>AX221*1000+BC218</f>
        <v>12005</v>
      </c>
      <c r="BD221">
        <f>AX221*1000+BD218</f>
        <v>12006</v>
      </c>
    </row>
    <row r="222" spans="1:56" ht="15.75" x14ac:dyDescent="0.25">
      <c r="A222" s="179">
        <f>-(F217*B216^2+J217*B217^2)</f>
        <v>-8464.5480888888906</v>
      </c>
      <c r="B222" s="112">
        <f>-(F217-J217)*B216*B217</f>
        <v>0</v>
      </c>
      <c r="C222" s="112">
        <f>J216*B217</f>
        <v>-1269682.2133333336</v>
      </c>
      <c r="D222" s="122">
        <f>(F217*B216^2+J217*B217^2)</f>
        <v>8464.5480888888906</v>
      </c>
      <c r="E222" s="112">
        <f>(F217-J217)*B216*B217</f>
        <v>0</v>
      </c>
      <c r="F222" s="112">
        <f>J216*B217</f>
        <v>-1269682.2133333336</v>
      </c>
      <c r="G222" s="112">
        <v>4</v>
      </c>
      <c r="H222" s="113"/>
      <c r="I222" s="113"/>
      <c r="J222" s="117"/>
      <c r="K222" s="99"/>
      <c r="L222" s="120">
        <f>-F217</f>
        <v>-228200</v>
      </c>
      <c r="M222" s="120">
        <v>0</v>
      </c>
      <c r="N222" s="120">
        <v>0</v>
      </c>
      <c r="O222" s="120">
        <f>F217</f>
        <v>228200</v>
      </c>
      <c r="P222" s="120">
        <v>0</v>
      </c>
      <c r="Q222" s="119">
        <v>0</v>
      </c>
      <c r="R222" s="123" t="s">
        <v>126</v>
      </c>
      <c r="S222" s="120">
        <v>0</v>
      </c>
      <c r="T222" s="120">
        <v>0</v>
      </c>
      <c r="U222" s="120">
        <v>0</v>
      </c>
      <c r="V222" s="120">
        <f>B216</f>
        <v>0</v>
      </c>
      <c r="W222" s="120">
        <f>B217</f>
        <v>-1</v>
      </c>
      <c r="X222" s="119">
        <v>0</v>
      </c>
      <c r="Y222" s="124" t="s">
        <v>58</v>
      </c>
      <c r="Z222" s="120">
        <f>L222*S219+M222*S220+N222*S221+O222*S222+P222*S223+Q222*S224</f>
        <v>0</v>
      </c>
      <c r="AA222" s="120">
        <f>L222*T219+M222*T220+N222*T221+O222*T222+P222*T223+Q222*T224</f>
        <v>228200</v>
      </c>
      <c r="AB222" s="120">
        <f>L222*U219+M222*U220+N222*U221+O222*U222+P222*U223+Q222*U224</f>
        <v>0</v>
      </c>
      <c r="AC222" s="120">
        <f>L222*V219+M222*V220+N222*V221+O222*V222+P222*V223+Q222*V224</f>
        <v>0</v>
      </c>
      <c r="AD222" s="120">
        <f>L222*W219+M222*W220+N222*W221+O222*W222+P222*W223+Q222*W224</f>
        <v>-228200</v>
      </c>
      <c r="AE222" s="119">
        <f>L222*X219+M222*X220+N222*X221+O222*X222+P222*X223+Q222*X224</f>
        <v>0</v>
      </c>
      <c r="AF222" s="123" t="s">
        <v>126</v>
      </c>
      <c r="AG222" s="192">
        <v>0</v>
      </c>
      <c r="AH222" s="123" t="s">
        <v>58</v>
      </c>
      <c r="AI222" s="121">
        <f>Z222*AG219+AA222*AG220+AB222*AG221+AC222*AG222+AD222*AG223+AE222*AG224</f>
        <v>-33388.981636888493</v>
      </c>
      <c r="AJ222" s="173"/>
      <c r="AX222">
        <f t="shared" si="80"/>
        <v>4</v>
      </c>
      <c r="AY222">
        <f>AX222*1000+AY218</f>
        <v>4010</v>
      </c>
      <c r="AZ222">
        <f>AX222*1000+AZ218</f>
        <v>4011</v>
      </c>
      <c r="BA222">
        <f>AX222*1000+BA218</f>
        <v>4012</v>
      </c>
      <c r="BB222">
        <f>AX222*1000+BB218</f>
        <v>4004</v>
      </c>
      <c r="BC222">
        <f>AX222*1000+BC218</f>
        <v>4005</v>
      </c>
      <c r="BD222">
        <f>AX222*1000+BD218</f>
        <v>4006</v>
      </c>
    </row>
    <row r="223" spans="1:56" x14ac:dyDescent="0.25">
      <c r="A223" s="179">
        <f>-(F217-J217)*B216*B217</f>
        <v>0</v>
      </c>
      <c r="B223" s="112">
        <f>-(F217*B217^2+J217*B216^2)</f>
        <v>-228200</v>
      </c>
      <c r="C223" s="112">
        <f>-J216*B216</f>
        <v>0</v>
      </c>
      <c r="D223" s="112">
        <f>(F217-J217)*B216*B217</f>
        <v>0</v>
      </c>
      <c r="E223" s="122">
        <f>(F217*B217^2+J217*B216^2)</f>
        <v>228200</v>
      </c>
      <c r="F223" s="112">
        <f>-J216*B216</f>
        <v>0</v>
      </c>
      <c r="G223" s="112">
        <v>5</v>
      </c>
      <c r="H223" s="113"/>
      <c r="I223" s="113"/>
      <c r="J223" s="117"/>
      <c r="K223" s="99"/>
      <c r="L223" s="120">
        <v>0</v>
      </c>
      <c r="M223" s="120">
        <f>-J217</f>
        <v>-8464.5480888888906</v>
      </c>
      <c r="N223" s="120">
        <f>-J216</f>
        <v>-1269682.2133333336</v>
      </c>
      <c r="O223" s="120">
        <v>0</v>
      </c>
      <c r="P223" s="120">
        <f>J217</f>
        <v>8464.5480888888906</v>
      </c>
      <c r="Q223" s="119">
        <f>-J216</f>
        <v>-1269682.2133333336</v>
      </c>
      <c r="R223" s="99"/>
      <c r="S223" s="120">
        <v>0</v>
      </c>
      <c r="T223" s="120">
        <v>0</v>
      </c>
      <c r="U223" s="120">
        <v>0</v>
      </c>
      <c r="V223" s="120">
        <f>-B217</f>
        <v>1</v>
      </c>
      <c r="W223" s="120">
        <f>B216</f>
        <v>0</v>
      </c>
      <c r="X223" s="119">
        <v>0</v>
      </c>
      <c r="Y223" s="99"/>
      <c r="Z223" s="120">
        <f>L223*S219+M223*S220+N223*S221+O223*S222+P223*S223+Q223*S224</f>
        <v>-8464.5480888888906</v>
      </c>
      <c r="AA223" s="120">
        <f>L223*T219+M223*T220+N223*T221+O223*T222+P223*T223+Q223*T224</f>
        <v>0</v>
      </c>
      <c r="AB223" s="120">
        <f>L223*U219+M223*U220+N223*U221+O223*U222+P223*U223+Q223*U224</f>
        <v>-1269682.2133333336</v>
      </c>
      <c r="AC223" s="120">
        <f>L223*V219+M223*V220+N223*V221+O223*V222+P223*V223+Q223*V224</f>
        <v>8464.5480888888906</v>
      </c>
      <c r="AD223" s="120">
        <f>L223*W219+M223*W220+N223*W221+O223*W222+P223*W223+Q223*W224</f>
        <v>0</v>
      </c>
      <c r="AE223" s="119">
        <f>L223*X219+M223*X220+N223*X221+O223*X222+P223*X223+Q223*X224</f>
        <v>-1269682.2133333336</v>
      </c>
      <c r="AF223" s="99"/>
      <c r="AG223" s="121">
        <v>0</v>
      </c>
      <c r="AH223" s="121"/>
      <c r="AI223" s="121">
        <f>Z223*AG219+AA223*AG220+AB223*AG221+AC223*AG222+AD223*AG223+AE223*AG224</f>
        <v>0</v>
      </c>
      <c r="AJ223" s="173"/>
      <c r="AX223">
        <f t="shared" si="80"/>
        <v>5</v>
      </c>
      <c r="AY223">
        <f>AX223*1000+AY218</f>
        <v>5010</v>
      </c>
      <c r="AZ223">
        <f>AX223*1000+AZ218</f>
        <v>5011</v>
      </c>
      <c r="BA223">
        <f>AX223*1000+BA218</f>
        <v>5012</v>
      </c>
      <c r="BB223">
        <f>AX223*1000+BB218</f>
        <v>5004</v>
      </c>
      <c r="BC223">
        <f>AX223*1000+BC218</f>
        <v>5005</v>
      </c>
      <c r="BD223">
        <f>AX223*1000+BD218</f>
        <v>5006</v>
      </c>
    </row>
    <row r="224" spans="1:56" ht="15.75" thickBot="1" x14ac:dyDescent="0.3">
      <c r="A224" s="181">
        <f>-J216*B217</f>
        <v>1269682.2133333336</v>
      </c>
      <c r="B224" s="125">
        <f>J216*B216</f>
        <v>0</v>
      </c>
      <c r="C224" s="125">
        <f>H217</f>
        <v>126968221.33333336</v>
      </c>
      <c r="D224" s="125">
        <f>J216*B217</f>
        <v>-1269682.2133333336</v>
      </c>
      <c r="E224" s="125">
        <f>-J216*B216</f>
        <v>0</v>
      </c>
      <c r="F224" s="126">
        <f>H216</f>
        <v>253936442.66666672</v>
      </c>
      <c r="G224" s="125">
        <v>6</v>
      </c>
      <c r="H224" s="127"/>
      <c r="I224" s="127"/>
      <c r="J224" s="128"/>
      <c r="K224" s="99"/>
      <c r="L224" s="120">
        <v>0</v>
      </c>
      <c r="M224" s="120">
        <f>J216</f>
        <v>1269682.2133333336</v>
      </c>
      <c r="N224" s="120">
        <f>H217</f>
        <v>126968221.33333336</v>
      </c>
      <c r="O224" s="120">
        <v>0</v>
      </c>
      <c r="P224" s="120">
        <f>-J216</f>
        <v>-1269682.2133333336</v>
      </c>
      <c r="Q224" s="119">
        <f>H216</f>
        <v>253936442.66666672</v>
      </c>
      <c r="R224" s="99"/>
      <c r="S224" s="120">
        <v>0</v>
      </c>
      <c r="T224" s="120">
        <v>0</v>
      </c>
      <c r="U224" s="120">
        <v>0</v>
      </c>
      <c r="V224" s="120">
        <v>0</v>
      </c>
      <c r="W224" s="120">
        <v>0</v>
      </c>
      <c r="X224" s="119">
        <v>1</v>
      </c>
      <c r="Y224" s="99"/>
      <c r="Z224" s="120">
        <f>L224*S219+M224*S220+N224*S221+O224*S222+P224*S223+Q224*S224</f>
        <v>1269682.2133333336</v>
      </c>
      <c r="AA224" s="120">
        <f>L224*T219+M224*T220+N224*T221+O224*T222+P224*T223+Q224*T224</f>
        <v>0</v>
      </c>
      <c r="AB224" s="120">
        <f>L224*U219+M224*U220+N224*U221+O224*U222+P224*U223+Q224*U224</f>
        <v>126968221.33333336</v>
      </c>
      <c r="AC224" s="120">
        <f>L224*V219+M224*V220+N224*V221+O224*V222+P224*V223+Q224*V224</f>
        <v>-1269682.2133333336</v>
      </c>
      <c r="AD224" s="120">
        <f>L224*W219+M224*W220+N224*W221+O224*W222+P224*W223+Q224*W224</f>
        <v>0</v>
      </c>
      <c r="AE224" s="119">
        <f>L224*X219+M224*X220+N224*X221+O224*X222+P224*X223+Q224*X224</f>
        <v>253936442.66666672</v>
      </c>
      <c r="AF224" s="99"/>
      <c r="AG224" s="166">
        <f>S4</f>
        <v>-0.92534272695413833</v>
      </c>
      <c r="AH224" s="121"/>
      <c r="AI224" s="121">
        <f>Z224*AG219+AA224*AG220+AB224*AG221+AC224*AG222+AD224*AG223+AE224*AG224</f>
        <v>0</v>
      </c>
      <c r="AJ224" s="173"/>
      <c r="AX224">
        <f t="shared" si="80"/>
        <v>6</v>
      </c>
      <c r="AY224">
        <f>AX224*1000+AY218</f>
        <v>6010</v>
      </c>
      <c r="AZ224">
        <f>AX224*1000+AZ218</f>
        <v>6011</v>
      </c>
      <c r="BA224">
        <f>AX224*1000+BA218</f>
        <v>6012</v>
      </c>
      <c r="BB224">
        <f>AX224*1000+BB218</f>
        <v>6004</v>
      </c>
      <c r="BC224">
        <f>AX224*1000+BC218</f>
        <v>6005</v>
      </c>
      <c r="BD224">
        <f>AX224*1000+BD218</f>
        <v>6006</v>
      </c>
    </row>
    <row r="225" spans="1:36" x14ac:dyDescent="0.25">
      <c r="AJ225" s="173"/>
    </row>
    <row r="226" spans="1:36" x14ac:dyDescent="0.25">
      <c r="B226" s="118">
        <f>A227</f>
        <v>1</v>
      </c>
      <c r="C226" s="118">
        <f>A228</f>
        <v>2</v>
      </c>
      <c r="D226" s="118">
        <v>4</v>
      </c>
      <c r="E226" s="118">
        <v>5</v>
      </c>
      <c r="F226" s="118">
        <v>3</v>
      </c>
      <c r="G226" s="118">
        <f>A232</f>
        <v>6</v>
      </c>
      <c r="H226" s="118">
        <f>A233</f>
        <v>7</v>
      </c>
      <c r="I226" s="118">
        <f>A234</f>
        <v>8</v>
      </c>
      <c r="J226" s="118">
        <f>A235</f>
        <v>9</v>
      </c>
      <c r="K226" s="118">
        <f>A236</f>
        <v>10</v>
      </c>
      <c r="L226" s="118">
        <f>A237</f>
        <v>11</v>
      </c>
      <c r="M226" s="118">
        <f>A238</f>
        <v>12</v>
      </c>
      <c r="N226" s="118">
        <f>A239</f>
        <v>13</v>
      </c>
      <c r="AJ226" s="173"/>
    </row>
    <row r="227" spans="1:36" x14ac:dyDescent="0.25">
      <c r="A227" s="182">
        <v>1</v>
      </c>
      <c r="B227" s="118">
        <f>SUMIF($AY$201:$BD$224,$A$227*1000+B226,$A$201:$F$224)</f>
        <v>1828.3423872000003</v>
      </c>
      <c r="C227" s="118">
        <f t="shared" ref="C227:N227" si="81">SUMIF($AY$201:$BD$224,$A$227*1000+C226,$A$201:$F$224)</f>
        <v>0</v>
      </c>
      <c r="D227" s="118">
        <f t="shared" si="81"/>
        <v>0</v>
      </c>
      <c r="E227" s="155">
        <f t="shared" si="81"/>
        <v>0</v>
      </c>
      <c r="F227" s="118">
        <f t="shared" si="81"/>
        <v>-457085.59680000006</v>
      </c>
      <c r="G227" s="118">
        <f t="shared" si="81"/>
        <v>0</v>
      </c>
      <c r="H227" s="118">
        <f t="shared" si="81"/>
        <v>-1828.3423872000003</v>
      </c>
      <c r="I227" s="118">
        <f t="shared" si="81"/>
        <v>0</v>
      </c>
      <c r="J227" s="118">
        <f t="shared" si="81"/>
        <v>-457085.59680000006</v>
      </c>
      <c r="K227" s="118">
        <f t="shared" si="81"/>
        <v>0</v>
      </c>
      <c r="L227" s="118">
        <f t="shared" si="81"/>
        <v>0</v>
      </c>
      <c r="M227" s="118">
        <f t="shared" si="81"/>
        <v>0</v>
      </c>
      <c r="N227" s="119">
        <f t="shared" si="81"/>
        <v>0</v>
      </c>
      <c r="O227" s="20"/>
      <c r="P227" s="130" t="s">
        <v>59</v>
      </c>
      <c r="Q227" s="183"/>
      <c r="R227" s="130">
        <v>0</v>
      </c>
      <c r="S227" s="20"/>
      <c r="T227" s="20"/>
      <c r="AJ227" s="173"/>
    </row>
    <row r="228" spans="1:36" x14ac:dyDescent="0.25">
      <c r="A228" s="182">
        <v>2</v>
      </c>
      <c r="B228" s="118">
        <f>SUMIF($AY$201:$BD$224,$A$228*1000+B226,$A$201:$F$224)</f>
        <v>0</v>
      </c>
      <c r="C228" s="118">
        <f t="shared" ref="C228:N228" si="82">SUMIF($AY$201:$BD$224,$A$228*1000+C226,$A$201:$F$224)</f>
        <v>136920</v>
      </c>
      <c r="D228" s="118">
        <f t="shared" si="82"/>
        <v>0</v>
      </c>
      <c r="E228" s="155">
        <f t="shared" si="82"/>
        <v>0</v>
      </c>
      <c r="F228" s="118">
        <f t="shared" si="82"/>
        <v>0</v>
      </c>
      <c r="G228" s="118">
        <f t="shared" si="82"/>
        <v>0</v>
      </c>
      <c r="H228" s="118">
        <f t="shared" si="82"/>
        <v>0</v>
      </c>
      <c r="I228" s="118">
        <f t="shared" si="82"/>
        <v>-136920</v>
      </c>
      <c r="J228" s="118">
        <f t="shared" si="82"/>
        <v>0</v>
      </c>
      <c r="K228" s="118">
        <f t="shared" si="82"/>
        <v>0</v>
      </c>
      <c r="L228" s="118">
        <f t="shared" si="82"/>
        <v>0</v>
      </c>
      <c r="M228" s="118">
        <f t="shared" si="82"/>
        <v>0</v>
      </c>
      <c r="N228" s="119">
        <f t="shared" si="82"/>
        <v>0</v>
      </c>
      <c r="O228" s="20"/>
      <c r="P228" s="130" t="s">
        <v>60</v>
      </c>
      <c r="Q228" s="183"/>
      <c r="R228" s="130">
        <v>0</v>
      </c>
      <c r="S228" s="20"/>
      <c r="T228" s="20"/>
      <c r="AG228" s="201">
        <f>B194</f>
        <v>0</v>
      </c>
      <c r="AH228" s="201">
        <f>C194</f>
        <v>0</v>
      </c>
      <c r="AJ228" s="173"/>
    </row>
    <row r="229" spans="1:36" x14ac:dyDescent="0.25">
      <c r="A229" s="182">
        <v>4</v>
      </c>
      <c r="B229" s="189">
        <f>SUMIF($AY$201:$BD$224,$A$229*1000+B226,$A$201:$F$224)</f>
        <v>0</v>
      </c>
      <c r="C229" s="120">
        <f t="shared" ref="C229:N229" si="83">SUMIF($AY$201:$BD$224,$A$229*1000+C226,$A$201:$F$224)</f>
        <v>0</v>
      </c>
      <c r="D229" s="118">
        <f t="shared" si="83"/>
        <v>8464.5480888888906</v>
      </c>
      <c r="E229" s="155">
        <f t="shared" si="83"/>
        <v>0</v>
      </c>
      <c r="F229" s="118">
        <f t="shared" si="83"/>
        <v>0</v>
      </c>
      <c r="G229" s="118">
        <f t="shared" si="83"/>
        <v>-1269682.2133333336</v>
      </c>
      <c r="H229" s="118">
        <f t="shared" si="83"/>
        <v>0</v>
      </c>
      <c r="I229" s="120">
        <f t="shared" si="83"/>
        <v>0</v>
      </c>
      <c r="J229" s="120">
        <f t="shared" si="83"/>
        <v>0</v>
      </c>
      <c r="K229" s="120">
        <f t="shared" si="83"/>
        <v>-8464.5480888888906</v>
      </c>
      <c r="L229" s="120">
        <f t="shared" si="83"/>
        <v>0</v>
      </c>
      <c r="M229" s="120">
        <f t="shared" si="83"/>
        <v>-1269682.2133333336</v>
      </c>
      <c r="N229" s="119">
        <f t="shared" si="83"/>
        <v>0</v>
      </c>
      <c r="O229" s="20"/>
      <c r="P229" s="130" t="s">
        <v>85</v>
      </c>
      <c r="Q229" s="183"/>
      <c r="R229" s="130">
        <v>0</v>
      </c>
      <c r="S229" s="20"/>
      <c r="T229" s="20"/>
      <c r="AG229" s="202">
        <f>B195+AG204</f>
        <v>277.85243716301852</v>
      </c>
      <c r="AH229" s="201">
        <f>C195+AG205</f>
        <v>500.2438575930243</v>
      </c>
      <c r="AJ229" s="173"/>
    </row>
    <row r="230" spans="1:36" ht="15.75" thickBot="1" x14ac:dyDescent="0.3">
      <c r="A230" s="182">
        <v>5</v>
      </c>
      <c r="B230" s="152">
        <f>SUMIF($AY$201:$BD$224,$A$230*1000+B226,$A$201:$F$224)</f>
        <v>0</v>
      </c>
      <c r="C230" s="153">
        <f t="shared" ref="C230:N230" si="84">SUMIF($AY$201:$BD$224,$A$230*1000+C226,$A$201:$F$224)</f>
        <v>0</v>
      </c>
      <c r="D230" s="153">
        <f t="shared" si="84"/>
        <v>0</v>
      </c>
      <c r="E230" s="156">
        <f t="shared" si="84"/>
        <v>228200</v>
      </c>
      <c r="F230" s="153">
        <f t="shared" si="84"/>
        <v>0</v>
      </c>
      <c r="G230" s="153">
        <f t="shared" si="84"/>
        <v>0</v>
      </c>
      <c r="H230" s="153">
        <f t="shared" si="84"/>
        <v>0</v>
      </c>
      <c r="I230" s="153">
        <f t="shared" si="84"/>
        <v>0</v>
      </c>
      <c r="J230" s="153">
        <f t="shared" si="84"/>
        <v>0</v>
      </c>
      <c r="K230" s="153">
        <f t="shared" si="84"/>
        <v>0</v>
      </c>
      <c r="L230" s="153">
        <f t="shared" si="84"/>
        <v>-228200</v>
      </c>
      <c r="M230" s="153">
        <f t="shared" si="84"/>
        <v>0</v>
      </c>
      <c r="N230" s="154">
        <f t="shared" si="84"/>
        <v>0</v>
      </c>
      <c r="O230" s="20"/>
      <c r="P230" s="130" t="s">
        <v>135</v>
      </c>
      <c r="Q230" s="183"/>
      <c r="R230" s="131">
        <v>0</v>
      </c>
      <c r="S230" s="20"/>
      <c r="T230" s="20"/>
      <c r="AG230" s="20">
        <f>B196+AG213</f>
        <v>877.60281808624154</v>
      </c>
      <c r="AH230" s="20">
        <f>C196+AG214</f>
        <v>299.85368544418543</v>
      </c>
      <c r="AJ230" s="173"/>
    </row>
    <row r="231" spans="1:36" x14ac:dyDescent="0.25">
      <c r="A231" s="182">
        <v>3</v>
      </c>
      <c r="B231" s="198">
        <f>SUMIF($AY$201:$BD$224,$A$231*1000+B226,$A$201:$F$224)</f>
        <v>-457085.59680000006</v>
      </c>
      <c r="C231" s="199">
        <f t="shared" ref="C231:E231" si="85">SUMIF($AY$201:$BD$224,$A$231*1000+C226,$A$201:$F$224)</f>
        <v>0</v>
      </c>
      <c r="D231" s="199">
        <f t="shared" si="85"/>
        <v>0</v>
      </c>
      <c r="E231" s="197">
        <f t="shared" si="85"/>
        <v>0</v>
      </c>
      <c r="F231" s="184">
        <f>C203</f>
        <v>152361865.60000002</v>
      </c>
      <c r="G231" s="120">
        <f t="shared" ref="G231:N231" si="86">SUMIF($AY$141:$BD$164,$A$171*1000+G226,$A$141:$F$164)</f>
        <v>0</v>
      </c>
      <c r="H231" s="120">
        <f>D203</f>
        <v>457085.59680000006</v>
      </c>
      <c r="I231" s="120">
        <f t="shared" si="86"/>
        <v>0</v>
      </c>
      <c r="J231" s="120">
        <f>F203</f>
        <v>76180932.800000012</v>
      </c>
      <c r="K231" s="120">
        <f t="shared" si="86"/>
        <v>0</v>
      </c>
      <c r="L231" s="120">
        <f t="shared" si="86"/>
        <v>-228200</v>
      </c>
      <c r="M231" s="120">
        <f t="shared" si="86"/>
        <v>0</v>
      </c>
      <c r="N231" s="119">
        <f t="shared" si="86"/>
        <v>0</v>
      </c>
      <c r="O231" s="20"/>
      <c r="P231" s="130" t="s">
        <v>62</v>
      </c>
      <c r="Q231" s="20"/>
      <c r="R231" s="130">
        <v>0</v>
      </c>
      <c r="S231" s="20"/>
      <c r="T231" s="166">
        <f>S3</f>
        <v>-0.64365412097097663</v>
      </c>
      <c r="AG231" s="20">
        <f>D196</f>
        <v>600</v>
      </c>
      <c r="AH231" s="20">
        <f>E196</f>
        <v>0</v>
      </c>
      <c r="AJ231" s="173"/>
    </row>
    <row r="232" spans="1:36" x14ac:dyDescent="0.25">
      <c r="A232" s="182">
        <v>6</v>
      </c>
      <c r="B232" s="118">
        <f>SUMIF($AY$201:$BD$224,$A$232*1000+B226,$A$201:$F$224)</f>
        <v>0</v>
      </c>
      <c r="C232" s="120">
        <f t="shared" ref="C232:E232" si="87">SUMIF($AY$201:$BD$224,$A$232*1000+C226,$A$201:$F$224)</f>
        <v>0</v>
      </c>
      <c r="D232" s="120">
        <f t="shared" si="87"/>
        <v>-1269682.2133333336</v>
      </c>
      <c r="E232" s="155">
        <f t="shared" si="87"/>
        <v>0</v>
      </c>
      <c r="F232" s="129">
        <v>0</v>
      </c>
      <c r="G232" s="196">
        <f>F224</f>
        <v>253936442.66666672</v>
      </c>
      <c r="H232" s="195">
        <v>0</v>
      </c>
      <c r="I232" s="195">
        <v>0</v>
      </c>
      <c r="J232" s="195">
        <v>0</v>
      </c>
      <c r="K232" s="195">
        <f>A224</f>
        <v>1269682.2133333336</v>
      </c>
      <c r="L232" s="195">
        <f>B224</f>
        <v>0</v>
      </c>
      <c r="M232" s="195">
        <f>C224</f>
        <v>126968221.33333336</v>
      </c>
      <c r="N232" s="158">
        <v>0</v>
      </c>
      <c r="O232" s="20"/>
      <c r="P232" s="130" t="s">
        <v>64</v>
      </c>
      <c r="Q232" s="20"/>
      <c r="R232" s="130">
        <v>0</v>
      </c>
      <c r="S232" s="20"/>
      <c r="T232" s="166">
        <f t="shared" ref="T232:T239" si="88">S4</f>
        <v>-0.92534272695413833</v>
      </c>
      <c r="AG232" s="20"/>
      <c r="AH232" s="20"/>
      <c r="AJ232" s="173"/>
    </row>
    <row r="233" spans="1:36" x14ac:dyDescent="0.25">
      <c r="A233" s="182">
        <v>7</v>
      </c>
      <c r="B233" s="118">
        <f>SUMIF($AY$201:$BD$224,$A$233*1000+B226,$A$201:$F$224)</f>
        <v>-1828.3423872000003</v>
      </c>
      <c r="C233" s="118">
        <f t="shared" ref="C233:E233" si="89">SUMIF($AY$201:$BD$224,$A$233*1000+C226,$A$201:$F$224)</f>
        <v>0</v>
      </c>
      <c r="D233" s="118">
        <f t="shared" si="89"/>
        <v>0</v>
      </c>
      <c r="E233" s="155">
        <f t="shared" si="89"/>
        <v>0</v>
      </c>
      <c r="F233" s="129">
        <f>C204</f>
        <v>457085.59680000006</v>
      </c>
      <c r="G233" s="195">
        <v>0</v>
      </c>
      <c r="H233" s="196">
        <f t="shared" ref="H233:H235" si="90">D204+A210</f>
        <v>85659.585700377225</v>
      </c>
      <c r="I233" s="195">
        <f t="shared" ref="I233:I235" si="91">E204+B210</f>
        <v>-27767.800799352925</v>
      </c>
      <c r="J233" s="195">
        <f t="shared" ref="J233:J235" si="92">F204+C210</f>
        <v>509869.68831184402</v>
      </c>
      <c r="K233" s="195">
        <f t="shared" ref="K233:K235" si="93">D210</f>
        <v>-83831.243313177227</v>
      </c>
      <c r="L233" s="195">
        <f t="shared" ref="L233:L235" si="94">E210</f>
        <v>27767.800799352925</v>
      </c>
      <c r="M233" s="195">
        <v>0</v>
      </c>
      <c r="N233" s="158">
        <f>F210</f>
        <v>52784.091511843944</v>
      </c>
      <c r="O233" s="145" t="s">
        <v>126</v>
      </c>
      <c r="P233" s="130" t="s">
        <v>78</v>
      </c>
      <c r="Q233" s="123" t="s">
        <v>58</v>
      </c>
      <c r="R233" s="121">
        <f>$Y$12</f>
        <v>40000</v>
      </c>
      <c r="S233" s="120"/>
      <c r="T233" s="166">
        <f t="shared" si="88"/>
        <v>277.85243716301852</v>
      </c>
      <c r="AJ233" s="173"/>
    </row>
    <row r="234" spans="1:36" x14ac:dyDescent="0.25">
      <c r="A234" s="182">
        <v>8</v>
      </c>
      <c r="B234" s="118">
        <f>SUMIF($AY$201:$BD$224,$A$234*1000+B226,$A$201:$F$224)</f>
        <v>0</v>
      </c>
      <c r="C234" s="118">
        <f t="shared" ref="C234:E234" si="95">SUMIF($AY$201:$BD$224,$A$234*1000+C226,$A$201:$F$224)</f>
        <v>-136920</v>
      </c>
      <c r="D234" s="118">
        <f t="shared" si="95"/>
        <v>0</v>
      </c>
      <c r="E234" s="155">
        <f t="shared" si="95"/>
        <v>0</v>
      </c>
      <c r="F234" s="129">
        <f>C205</f>
        <v>0</v>
      </c>
      <c r="G234" s="195">
        <v>0</v>
      </c>
      <c r="H234" s="195">
        <f t="shared" si="90"/>
        <v>-27767.800799352925</v>
      </c>
      <c r="I234" s="196">
        <f t="shared" si="91"/>
        <v>146703.77451490273</v>
      </c>
      <c r="J234" s="195">
        <f t="shared" si="92"/>
        <v>158352.27453553185</v>
      </c>
      <c r="K234" s="195">
        <f t="shared" si="93"/>
        <v>27767.800799352925</v>
      </c>
      <c r="L234" s="195">
        <f t="shared" si="94"/>
        <v>-9783.7745149027469</v>
      </c>
      <c r="M234" s="195">
        <v>0</v>
      </c>
      <c r="N234" s="158">
        <f>F211</f>
        <v>158352.27453553185</v>
      </c>
      <c r="O234" s="99"/>
      <c r="P234" s="130" t="s">
        <v>79</v>
      </c>
      <c r="Q234" s="99"/>
      <c r="R234" s="121">
        <v>0</v>
      </c>
      <c r="S234" s="120"/>
      <c r="T234" s="166">
        <f t="shared" si="88"/>
        <v>0.2438575930242983</v>
      </c>
      <c r="AJ234" s="173"/>
    </row>
    <row r="235" spans="1:36" x14ac:dyDescent="0.25">
      <c r="A235" s="182">
        <v>9</v>
      </c>
      <c r="B235" s="118">
        <f>SUMIF($AY$201:$BD$224,$A$235*1000+B226,$A$201:$F$224)</f>
        <v>-457085.59680000006</v>
      </c>
      <c r="C235" s="118">
        <f t="shared" ref="C235:E235" si="96">SUMIF($AY$201:$BD$224,$A$235*1000+C226,$A$201:$F$224)</f>
        <v>0</v>
      </c>
      <c r="D235" s="118">
        <f t="shared" si="96"/>
        <v>0</v>
      </c>
      <c r="E235" s="155">
        <f t="shared" si="96"/>
        <v>0</v>
      </c>
      <c r="F235" s="129">
        <f>C206</f>
        <v>76180932.800000012</v>
      </c>
      <c r="G235" s="195">
        <v>0</v>
      </c>
      <c r="H235" s="195">
        <f t="shared" si="90"/>
        <v>509869.68831184402</v>
      </c>
      <c r="I235" s="195">
        <f t="shared" si="91"/>
        <v>158352.27453553185</v>
      </c>
      <c r="J235" s="196">
        <f t="shared" si="92"/>
        <v>222740654.28245863</v>
      </c>
      <c r="K235" s="195">
        <f t="shared" si="93"/>
        <v>-52784.091511843944</v>
      </c>
      <c r="L235" s="195">
        <f t="shared" si="94"/>
        <v>-158352.27453553185</v>
      </c>
      <c r="M235" s="195">
        <v>0</v>
      </c>
      <c r="N235" s="158">
        <f>F212</f>
        <v>35189394.341229305</v>
      </c>
      <c r="O235" s="99"/>
      <c r="P235" s="130" t="s">
        <v>80</v>
      </c>
      <c r="Q235" s="99"/>
      <c r="R235" s="121">
        <v>0</v>
      </c>
      <c r="S235" s="120"/>
      <c r="T235" s="166">
        <f t="shared" si="88"/>
        <v>-0.38024466631844001</v>
      </c>
      <c r="AJ235" s="173"/>
    </row>
    <row r="236" spans="1:36" x14ac:dyDescent="0.25">
      <c r="A236" s="182">
        <v>10</v>
      </c>
      <c r="B236" s="118">
        <f>SUMIF($AY$201:$BD$224,$A$236*1000+B226,$A$201:$F$224)</f>
        <v>0</v>
      </c>
      <c r="C236" s="118">
        <f t="shared" ref="C236:E236" si="97">SUMIF($AY$201:$BD$224,$A$236*1000+C226,$A$201:$F$224)</f>
        <v>0</v>
      </c>
      <c r="D236" s="118">
        <f t="shared" si="97"/>
        <v>-8464.5480888888906</v>
      </c>
      <c r="E236" s="155">
        <f t="shared" si="97"/>
        <v>0</v>
      </c>
      <c r="F236" s="129">
        <v>0</v>
      </c>
      <c r="G236" s="195">
        <f>F219</f>
        <v>1269682.2133333336</v>
      </c>
      <c r="H236" s="195">
        <f t="shared" ref="H236:H237" si="98">A213</f>
        <v>-83831.243313177227</v>
      </c>
      <c r="I236" s="195">
        <f t="shared" ref="I236:I237" si="99">B213</f>
        <v>27767.800799352925</v>
      </c>
      <c r="J236" s="195">
        <f t="shared" ref="J236:J237" si="100">C213</f>
        <v>-52784.091511843944</v>
      </c>
      <c r="K236" s="196">
        <f>D213+A219</f>
        <v>92295.791402066112</v>
      </c>
      <c r="L236" s="195">
        <f>E213</f>
        <v>-27767.800799352925</v>
      </c>
      <c r="M236" s="195">
        <f>C219</f>
        <v>1269682.2133333336</v>
      </c>
      <c r="N236" s="158">
        <f>F213</f>
        <v>-52784.091511843944</v>
      </c>
      <c r="O236" s="99"/>
      <c r="P236" s="130" t="s">
        <v>81</v>
      </c>
      <c r="Q236" s="99"/>
      <c r="R236" s="121">
        <f>$Y$13</f>
        <v>0</v>
      </c>
      <c r="S236" s="185" t="str">
        <f>"D="</f>
        <v>D=</v>
      </c>
      <c r="T236" s="166">
        <f t="shared" si="88"/>
        <v>277.60281808624148</v>
      </c>
      <c r="AJ236" s="173"/>
    </row>
    <row r="237" spans="1:36" x14ac:dyDescent="0.25">
      <c r="A237" s="182">
        <v>11</v>
      </c>
      <c r="B237" s="118">
        <f>SUMIF($AY$201:$BD$224,$A$237*1000+B226,$A$201:$F$224)</f>
        <v>0</v>
      </c>
      <c r="C237" s="118">
        <f t="shared" ref="C237:E237" si="101">SUMIF($AY$201:$BD$224,$A$237*1000+C226,$A$201:$F$224)</f>
        <v>0</v>
      </c>
      <c r="D237" s="118">
        <f t="shared" si="101"/>
        <v>0</v>
      </c>
      <c r="E237" s="155">
        <f t="shared" si="101"/>
        <v>-228200</v>
      </c>
      <c r="F237" s="129">
        <v>0</v>
      </c>
      <c r="G237" s="195">
        <f>F220</f>
        <v>0</v>
      </c>
      <c r="H237" s="195">
        <f t="shared" si="98"/>
        <v>27767.800799352925</v>
      </c>
      <c r="I237" s="195">
        <f t="shared" si="99"/>
        <v>-9783.7745149027469</v>
      </c>
      <c r="J237" s="195">
        <f t="shared" si="100"/>
        <v>-158352.27453553185</v>
      </c>
      <c r="K237" s="195">
        <f>D214+A220</f>
        <v>-27767.800799352925</v>
      </c>
      <c r="L237" s="196">
        <f>E214+B220</f>
        <v>237983.77451490273</v>
      </c>
      <c r="M237" s="195">
        <f>C220</f>
        <v>0</v>
      </c>
      <c r="N237" s="158">
        <f>F214</f>
        <v>-158352.27453553185</v>
      </c>
      <c r="O237" s="99"/>
      <c r="P237" s="130" t="s">
        <v>82</v>
      </c>
      <c r="Q237" s="99"/>
      <c r="R237" s="121">
        <v>0</v>
      </c>
      <c r="S237" s="120"/>
      <c r="T237" s="166">
        <f t="shared" si="88"/>
        <v>-0.14631455581458586</v>
      </c>
      <c r="AJ237" s="173"/>
    </row>
    <row r="238" spans="1:36" x14ac:dyDescent="0.25">
      <c r="A238" s="182">
        <v>12</v>
      </c>
      <c r="B238" s="118">
        <f>SUMIF($AY$201:$BD$224,$A$238*1000+B226,$A$201:$F$224)</f>
        <v>0</v>
      </c>
      <c r="C238" s="118">
        <f t="shared" ref="C238:E238" si="102">SUMIF($AY$201:$BD$224,$A$238*1000+C226,$A$201:$F$224)</f>
        <v>0</v>
      </c>
      <c r="D238" s="118">
        <f t="shared" si="102"/>
        <v>-1269682.2133333336</v>
      </c>
      <c r="E238" s="155">
        <f t="shared" si="102"/>
        <v>0</v>
      </c>
      <c r="F238" s="129">
        <v>0</v>
      </c>
      <c r="G238" s="195">
        <f>F221</f>
        <v>126968221.33333336</v>
      </c>
      <c r="H238" s="195">
        <v>0</v>
      </c>
      <c r="I238" s="195">
        <v>0</v>
      </c>
      <c r="J238" s="195">
        <v>0</v>
      </c>
      <c r="K238" s="195">
        <f>A221</f>
        <v>1269682.2133333336</v>
      </c>
      <c r="L238" s="195">
        <f>B221</f>
        <v>0</v>
      </c>
      <c r="M238" s="196">
        <f>C221</f>
        <v>253936442.66666672</v>
      </c>
      <c r="N238" s="158">
        <v>0</v>
      </c>
      <c r="O238" s="99"/>
      <c r="P238" s="130" t="s">
        <v>83</v>
      </c>
      <c r="Q238" s="99"/>
      <c r="R238" s="121">
        <v>0</v>
      </c>
      <c r="S238" s="120"/>
      <c r="T238" s="166">
        <f t="shared" si="88"/>
        <v>-0.92534272695413822</v>
      </c>
      <c r="AJ238" s="173"/>
    </row>
    <row r="239" spans="1:36" x14ac:dyDescent="0.25">
      <c r="A239" s="193">
        <v>13</v>
      </c>
      <c r="B239" s="118">
        <f>SUMIF($AY$201:$BD$224,$A$239*1000+B226,$A$201:$F$224)</f>
        <v>0</v>
      </c>
      <c r="C239" s="118">
        <f t="shared" ref="C239:E239" si="103">SUMIF($AY$201:$BD$224,$A$239*1000+C226,$A$201:$F$224)</f>
        <v>0</v>
      </c>
      <c r="D239" s="118">
        <f t="shared" si="103"/>
        <v>0</v>
      </c>
      <c r="E239" s="155">
        <f t="shared" si="103"/>
        <v>0</v>
      </c>
      <c r="F239" s="129">
        <v>0</v>
      </c>
      <c r="G239" s="195">
        <v>0</v>
      </c>
      <c r="H239" s="195">
        <f>A215</f>
        <v>52784.091511843944</v>
      </c>
      <c r="I239" s="195">
        <f>B215</f>
        <v>158352.27453553185</v>
      </c>
      <c r="J239" s="195">
        <f>C215</f>
        <v>35189394.341229305</v>
      </c>
      <c r="K239" s="195">
        <f>D215</f>
        <v>-52784.091511843944</v>
      </c>
      <c r="L239" s="195">
        <f>E215</f>
        <v>-158352.27453553185</v>
      </c>
      <c r="M239" s="195">
        <v>0</v>
      </c>
      <c r="N239" s="157">
        <f>F215</f>
        <v>70378788.682458609</v>
      </c>
      <c r="P239" s="130" t="s">
        <v>127</v>
      </c>
      <c r="R239" s="121">
        <v>0</v>
      </c>
      <c r="T239" s="166">
        <f t="shared" si="88"/>
        <v>0.18905723151674989</v>
      </c>
      <c r="AJ239" s="173"/>
    </row>
    <row r="240" spans="1:36" ht="15.75" thickBot="1" x14ac:dyDescent="0.3">
      <c r="AJ240" s="173"/>
    </row>
    <row r="241" spans="1:38" ht="16.5" thickBot="1" x14ac:dyDescent="0.3">
      <c r="A241" s="225" t="s">
        <v>72</v>
      </c>
      <c r="B241" s="226"/>
      <c r="C241" s="226"/>
      <c r="D241" s="227"/>
      <c r="E241" s="20"/>
      <c r="F241" s="168" t="s">
        <v>138</v>
      </c>
      <c r="G241" s="168" t="s">
        <v>139</v>
      </c>
      <c r="H241" s="169" t="s">
        <v>140</v>
      </c>
      <c r="I241" s="168" t="s">
        <v>141</v>
      </c>
      <c r="J241" s="170" t="s">
        <v>146</v>
      </c>
      <c r="K241" s="242" t="s">
        <v>147</v>
      </c>
      <c r="L241" s="243"/>
      <c r="M241" s="168" t="s">
        <v>142</v>
      </c>
      <c r="N241" s="168" t="s">
        <v>150</v>
      </c>
      <c r="O241" s="191">
        <f>MIN(J243:J244)</f>
        <v>9.5915051314778739E-3</v>
      </c>
      <c r="AJ241" s="173"/>
    </row>
    <row r="242" spans="1:38" ht="15.75" thickBot="1" x14ac:dyDescent="0.3">
      <c r="A242" s="231" t="s">
        <v>128</v>
      </c>
      <c r="B242" s="231"/>
      <c r="C242" s="231"/>
      <c r="D242" s="165">
        <f>F231*$S$3+G231*$S$4+H231*$S$5+I231*$S$6+J231*$S$7+K231*$S$8+L231*$S$9+M231*$S$10+N231*$S$11-R231</f>
        <v>1.2587406672537327E-7</v>
      </c>
      <c r="E242" s="20"/>
      <c r="F242" s="237">
        <v>1</v>
      </c>
      <c r="G242" s="139">
        <v>1</v>
      </c>
      <c r="H242" s="139">
        <f>AI203</f>
        <v>-33388.981636762619</v>
      </c>
      <c r="I242" s="139">
        <f>M182-K182</f>
        <v>0</v>
      </c>
      <c r="J242" s="167">
        <f>I242/H242</f>
        <v>0</v>
      </c>
      <c r="K242" s="239">
        <f>K183+$J$243*H242</f>
        <v>-1809930.3675656796</v>
      </c>
      <c r="L242" s="240"/>
      <c r="M242" s="139">
        <f>M66</f>
        <v>3000048.0000000005</v>
      </c>
      <c r="AJ242" s="173"/>
    </row>
    <row r="243" spans="1:38" ht="15.75" thickBot="1" x14ac:dyDescent="0.3">
      <c r="A243" s="231" t="s">
        <v>149</v>
      </c>
      <c r="B243" s="231"/>
      <c r="C243" s="231"/>
      <c r="D243" s="165">
        <f t="shared" ref="D243:D250" si="104">F232*$S$3+G232*$S$4+H232*$S$5+I232*$S$6+J232*$S$7+K232*$S$8+L232*$S$9+M232*$S$10+N232*$S$11-R232</f>
        <v>4.4703483581542969E-8</v>
      </c>
      <c r="E243" s="20"/>
      <c r="F243" s="238"/>
      <c r="G243" s="139">
        <v>2</v>
      </c>
      <c r="H243" s="139">
        <f>-AI206</f>
        <v>-20033388.982132778</v>
      </c>
      <c r="I243" s="139">
        <f t="shared" ref="I243:I247" si="105">M183-K183</f>
        <v>-1192104.4732230185</v>
      </c>
      <c r="J243" s="167">
        <f t="shared" ref="J243:J247" si="106">I243/H243</f>
        <v>5.9505881620240252E-2</v>
      </c>
      <c r="K243" s="239">
        <f t="shared" ref="K243:K247" si="107">K184+$J$243*H243</f>
        <v>-3000048</v>
      </c>
      <c r="L243" s="240"/>
      <c r="M243" s="139">
        <f t="shared" ref="M243:M247" si="108">M67</f>
        <v>-3000048.0000000005</v>
      </c>
      <c r="AJ243" s="173"/>
    </row>
    <row r="244" spans="1:38" ht="15.75" thickBot="1" x14ac:dyDescent="0.3">
      <c r="A244" s="231" t="s">
        <v>88</v>
      </c>
      <c r="B244" s="231"/>
      <c r="C244" s="231"/>
      <c r="D244" s="165">
        <f t="shared" si="104"/>
        <v>9.95205482468009E-7</v>
      </c>
      <c r="E244" s="20"/>
      <c r="F244" s="237">
        <v>2</v>
      </c>
      <c r="G244" s="139">
        <v>2</v>
      </c>
      <c r="H244" s="139">
        <f>AI212</f>
        <v>-20033388.982132725</v>
      </c>
      <c r="I244" s="139">
        <f t="shared" si="105"/>
        <v>-192150.35322301835</v>
      </c>
      <c r="J244" s="203">
        <f t="shared" si="106"/>
        <v>9.5915051314778739E-3</v>
      </c>
      <c r="K244" s="239">
        <f t="shared" si="107"/>
        <v>807989.40677698515</v>
      </c>
      <c r="L244" s="240"/>
      <c r="M244" s="139">
        <f t="shared" si="108"/>
        <v>-2000093.8800000001</v>
      </c>
      <c r="AJ244" s="173"/>
    </row>
    <row r="245" spans="1:38" ht="15.75" thickBot="1" x14ac:dyDescent="0.3">
      <c r="A245" s="231" t="s">
        <v>89</v>
      </c>
      <c r="B245" s="231"/>
      <c r="C245" s="231"/>
      <c r="D245" s="165">
        <f t="shared" si="104"/>
        <v>-2.9212969820946455E-9</v>
      </c>
      <c r="E245" s="20"/>
      <c r="F245" s="238"/>
      <c r="G245" s="139">
        <v>3</v>
      </c>
      <c r="H245" s="139">
        <f>AI215</f>
        <v>0</v>
      </c>
      <c r="I245" s="139">
        <f t="shared" si="105"/>
        <v>0</v>
      </c>
      <c r="J245" s="167" t="e">
        <f t="shared" si="106"/>
        <v>#DIV/0!</v>
      </c>
      <c r="K245" s="239">
        <f t="shared" si="107"/>
        <v>2000093.8800000018</v>
      </c>
      <c r="L245" s="240"/>
      <c r="M245" s="139">
        <f t="shared" si="108"/>
        <v>2000093.8800000001</v>
      </c>
      <c r="AJ245" s="173"/>
    </row>
    <row r="246" spans="1:38" ht="15.75" thickBot="1" x14ac:dyDescent="0.3">
      <c r="A246" s="231" t="s">
        <v>90</v>
      </c>
      <c r="B246" s="231"/>
      <c r="C246" s="231"/>
      <c r="D246" s="165">
        <f t="shared" si="104"/>
        <v>5.5879354476928711E-8</v>
      </c>
      <c r="E246" s="20"/>
      <c r="F246" s="237">
        <v>3</v>
      </c>
      <c r="G246" s="139">
        <v>3</v>
      </c>
      <c r="H246" s="139">
        <f>AI221</f>
        <v>0</v>
      </c>
      <c r="I246" s="139">
        <f t="shared" si="105"/>
        <v>999954.11999999871</v>
      </c>
      <c r="J246" s="167" t="e">
        <f t="shared" si="106"/>
        <v>#DIV/0!</v>
      </c>
      <c r="K246" s="239">
        <f t="shared" si="107"/>
        <v>-3000048.0000000009</v>
      </c>
      <c r="L246" s="240"/>
      <c r="M246" s="139">
        <f t="shared" si="108"/>
        <v>3000048.0000000005</v>
      </c>
      <c r="AJ246" s="173"/>
    </row>
    <row r="247" spans="1:38" ht="15.75" thickBot="1" x14ac:dyDescent="0.3">
      <c r="A247" s="231" t="s">
        <v>91</v>
      </c>
      <c r="B247" s="231"/>
      <c r="C247" s="231"/>
      <c r="D247" s="165">
        <f t="shared" si="104"/>
        <v>-7.7961885835975409E-9</v>
      </c>
      <c r="E247" s="20"/>
      <c r="F247" s="238"/>
      <c r="G247" s="139">
        <v>4</v>
      </c>
      <c r="H247" s="139">
        <f>AI224</f>
        <v>0</v>
      </c>
      <c r="I247" s="139">
        <f t="shared" si="105"/>
        <v>0</v>
      </c>
      <c r="J247" s="167" t="e">
        <f t="shared" si="106"/>
        <v>#DIV/0!</v>
      </c>
      <c r="K247" s="239">
        <f t="shared" si="107"/>
        <v>0</v>
      </c>
      <c r="L247" s="240"/>
      <c r="M247" s="139">
        <f t="shared" si="108"/>
        <v>-3000048.0000000005</v>
      </c>
      <c r="AJ247" s="173"/>
    </row>
    <row r="248" spans="1:38" ht="15.75" thickBot="1" x14ac:dyDescent="0.3">
      <c r="A248" s="231" t="s">
        <v>92</v>
      </c>
      <c r="B248" s="231"/>
      <c r="C248" s="231"/>
      <c r="D248" s="165">
        <f t="shared" si="104"/>
        <v>1.8480932340025902E-9</v>
      </c>
      <c r="AJ248" s="173"/>
    </row>
    <row r="249" spans="1:38" ht="15.75" thickBot="1" x14ac:dyDescent="0.3">
      <c r="A249" s="231" t="s">
        <v>93</v>
      </c>
      <c r="B249" s="231"/>
      <c r="C249" s="231"/>
      <c r="D249" s="165">
        <f t="shared" si="104"/>
        <v>5.9604644775390625E-8</v>
      </c>
      <c r="F249" s="241" t="s">
        <v>153</v>
      </c>
      <c r="G249" s="241"/>
      <c r="H249" s="241"/>
      <c r="I249" s="241"/>
      <c r="J249" s="241"/>
      <c r="K249" s="241"/>
      <c r="L249" s="195"/>
      <c r="AJ249" s="173"/>
    </row>
    <row r="250" spans="1:38" ht="15.75" thickBot="1" x14ac:dyDescent="0.3">
      <c r="A250" s="231" t="s">
        <v>129</v>
      </c>
      <c r="B250" s="231"/>
      <c r="C250" s="231"/>
      <c r="D250" s="165">
        <f t="shared" si="104"/>
        <v>9.3132257461547852E-9</v>
      </c>
      <c r="AJ250" s="173"/>
    </row>
    <row r="251" spans="1:38" ht="15.75" thickBot="1" x14ac:dyDescent="0.3">
      <c r="A251" s="187"/>
      <c r="B251" s="187"/>
      <c r="C251" s="187"/>
      <c r="D251" s="187"/>
      <c r="E251" s="187"/>
      <c r="F251" s="187"/>
      <c r="G251" s="187"/>
      <c r="H251" s="187"/>
      <c r="I251" s="187"/>
      <c r="J251" s="187"/>
      <c r="K251" s="187"/>
      <c r="L251" s="187"/>
      <c r="M251" s="187"/>
      <c r="N251" s="187"/>
      <c r="O251" s="187"/>
      <c r="P251" s="187"/>
      <c r="Q251" s="187"/>
      <c r="R251" s="187"/>
      <c r="S251" s="187"/>
      <c r="T251" s="187"/>
      <c r="U251" s="187"/>
      <c r="V251" s="187"/>
      <c r="W251" s="187"/>
      <c r="X251" s="187"/>
      <c r="Y251" s="187"/>
      <c r="Z251" s="187"/>
      <c r="AA251" s="187"/>
      <c r="AB251" s="187"/>
      <c r="AC251" s="187"/>
      <c r="AD251" s="187"/>
      <c r="AE251" s="187"/>
      <c r="AF251" s="187"/>
      <c r="AG251" s="187"/>
      <c r="AH251" s="187"/>
      <c r="AI251" s="187"/>
      <c r="AJ251" s="188"/>
      <c r="AK251" s="20"/>
      <c r="AL251" s="20"/>
    </row>
    <row r="252" spans="1:38" x14ac:dyDescent="0.25">
      <c r="AK252" s="20"/>
      <c r="AL252" s="20"/>
    </row>
  </sheetData>
  <mergeCells count="105">
    <mergeCell ref="D192:E192"/>
    <mergeCell ref="F192:F193"/>
    <mergeCell ref="G192:I192"/>
    <mergeCell ref="J192:L192"/>
    <mergeCell ref="A188:C188"/>
    <mergeCell ref="A189:C189"/>
    <mergeCell ref="A191:B191"/>
    <mergeCell ref="A192:A193"/>
    <mergeCell ref="B192:C192"/>
    <mergeCell ref="A186:C186"/>
    <mergeCell ref="F186:F187"/>
    <mergeCell ref="K186:L186"/>
    <mergeCell ref="A187:C187"/>
    <mergeCell ref="K187:L187"/>
    <mergeCell ref="A184:C184"/>
    <mergeCell ref="F184:F185"/>
    <mergeCell ref="K184:L184"/>
    <mergeCell ref="A185:C185"/>
    <mergeCell ref="K185:L185"/>
    <mergeCell ref="A181:D181"/>
    <mergeCell ref="K181:L181"/>
    <mergeCell ref="A182:C182"/>
    <mergeCell ref="F182:F183"/>
    <mergeCell ref="K182:L182"/>
    <mergeCell ref="A183:C183"/>
    <mergeCell ref="K183:L183"/>
    <mergeCell ref="F132:F133"/>
    <mergeCell ref="G132:I132"/>
    <mergeCell ref="J132:L132"/>
    <mergeCell ref="A129:C129"/>
    <mergeCell ref="A131:B131"/>
    <mergeCell ref="A132:A133"/>
    <mergeCell ref="B132:C132"/>
    <mergeCell ref="D132:E132"/>
    <mergeCell ref="A127:C127"/>
    <mergeCell ref="F127:F128"/>
    <mergeCell ref="K127:L127"/>
    <mergeCell ref="A128:C128"/>
    <mergeCell ref="K128:L128"/>
    <mergeCell ref="F68:F69"/>
    <mergeCell ref="F70:F71"/>
    <mergeCell ref="A122:D122"/>
    <mergeCell ref="K122:L122"/>
    <mergeCell ref="A123:C123"/>
    <mergeCell ref="F123:F124"/>
    <mergeCell ref="K123:L123"/>
    <mergeCell ref="A124:C124"/>
    <mergeCell ref="K124:L124"/>
    <mergeCell ref="A74:A75"/>
    <mergeCell ref="B74:C74"/>
    <mergeCell ref="D74:E74"/>
    <mergeCell ref="F74:F75"/>
    <mergeCell ref="G74:I74"/>
    <mergeCell ref="J74:L74"/>
    <mergeCell ref="A16:B16"/>
    <mergeCell ref="A65:D65"/>
    <mergeCell ref="A66:C66"/>
    <mergeCell ref="G17:I17"/>
    <mergeCell ref="J17:L17"/>
    <mergeCell ref="F17:F18"/>
    <mergeCell ref="A1:D1"/>
    <mergeCell ref="A2:C2"/>
    <mergeCell ref="A17:A18"/>
    <mergeCell ref="B17:C17"/>
    <mergeCell ref="D17:E17"/>
    <mergeCell ref="F66:F67"/>
    <mergeCell ref="A241:D241"/>
    <mergeCell ref="K241:L241"/>
    <mergeCell ref="A243:C243"/>
    <mergeCell ref="F242:F243"/>
    <mergeCell ref="K242:L242"/>
    <mergeCell ref="K243:L243"/>
    <mergeCell ref="K65:L65"/>
    <mergeCell ref="K66:L66"/>
    <mergeCell ref="K67:L67"/>
    <mergeCell ref="K68:L68"/>
    <mergeCell ref="K69:L69"/>
    <mergeCell ref="A73:B73"/>
    <mergeCell ref="A68:C68"/>
    <mergeCell ref="A69:C69"/>
    <mergeCell ref="A70:C70"/>
    <mergeCell ref="A71:C71"/>
    <mergeCell ref="K70:L70"/>
    <mergeCell ref="A67:C67"/>
    <mergeCell ref="A125:C125"/>
    <mergeCell ref="F125:F126"/>
    <mergeCell ref="K125:L125"/>
    <mergeCell ref="A126:C126"/>
    <mergeCell ref="K126:L126"/>
    <mergeCell ref="K71:L71"/>
    <mergeCell ref="A249:C249"/>
    <mergeCell ref="A250:C250"/>
    <mergeCell ref="A242:C242"/>
    <mergeCell ref="A245:C245"/>
    <mergeCell ref="F244:F245"/>
    <mergeCell ref="K244:L244"/>
    <mergeCell ref="A246:C246"/>
    <mergeCell ref="K245:L245"/>
    <mergeCell ref="A247:C247"/>
    <mergeCell ref="F246:F247"/>
    <mergeCell ref="K246:L246"/>
    <mergeCell ref="A248:C248"/>
    <mergeCell ref="K247:L247"/>
    <mergeCell ref="A244:C244"/>
    <mergeCell ref="F249:K249"/>
  </mergeCells>
  <conditionalFormatting sqref="I6:I11 M5:M11 Q4:Q11 U3:U11">
    <cfRule type="cellIs" dxfId="0" priority="73" operator="notEqual">
      <formula>0</formula>
    </cfRule>
  </conditionalFormatting>
  <conditionalFormatting sqref="G19:I2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9:L2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6:I7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6:L7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4:I13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4:L13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4:I19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94:L19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decimal" operator="greaterThan" allowBlank="1" showInputMessage="1" showErrorMessage="1" errorTitle="NOTATION!" error="Just positive number is acceptable." sqref="C6:D11 B13:B14 F13 D13:D14">
      <formula1>0</formula1>
    </dataValidation>
    <dataValidation type="decimal" operator="greaterThan" allowBlank="1" showInputMessage="1" showErrorMessage="1" error="Just positive number is acceptable_x000a_" sqref="F19:F21 F194:F196 F134:F136 F76:F78">
      <formula1>0</formula1>
    </dataValidation>
  </dataValidation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h.w-1</vt:lpstr>
      <vt:lpstr>h.w-2</vt:lpstr>
      <vt:lpstr>Truss-Optimization-1</vt:lpstr>
      <vt:lpstr>tir-soton</vt:lpstr>
      <vt:lpstr>Pushover</vt:lpstr>
    </vt:vector>
  </TitlesOfParts>
  <Company>MRT Win2Farsi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Structural optimization</dc:subject>
  <dc:creator>Salar Delavar Ghashghaei</dc:creator>
  <dc:description>For any Comment or suggestion:salar.d.ghashghaei@gmail.com</dc:description>
  <cp:lastModifiedBy>Windows User</cp:lastModifiedBy>
  <dcterms:created xsi:type="dcterms:W3CDTF">2015-03-03T01:57:24Z</dcterms:created>
  <dcterms:modified xsi:type="dcterms:W3CDTF">2021-06-06T11:15:52Z</dcterms:modified>
</cp:coreProperties>
</file>