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rahanit\Desktop\"/>
    </mc:Choice>
  </mc:AlternateContent>
  <bookViews>
    <workbookView xWindow="120" yWindow="45" windowWidth="12120" windowHeight="8130" tabRatio="802" firstSheet="4" activeTab="4"/>
  </bookViews>
  <sheets>
    <sheet name="h.w-1" sheetId="1" r:id="rId1"/>
    <sheet name="h.w-2" sheetId="2" r:id="rId2"/>
    <sheet name="Truss-Optimization-1" sheetId="6" r:id="rId3"/>
    <sheet name="tir-soton" sheetId="4" r:id="rId4"/>
    <sheet name="01-Truss" sheetId="7" r:id="rId5"/>
    <sheet name="02-Truss" sheetId="9" r:id="rId6"/>
    <sheet name="03-Truss" sheetId="11" r:id="rId7"/>
  </sheets>
  <definedNames>
    <definedName name="solver_adj" localSheetId="4" hidden="1">'01-Truss'!$C$6:$C$23</definedName>
    <definedName name="solver_adj" localSheetId="5" hidden="1">'02-Truss'!$B$5:$B$18,'02-Truss'!$G$5:$G$17</definedName>
    <definedName name="solver_adj" localSheetId="6" hidden="1">'03-Truss'!$B$5:$B$18,'03-Truss'!$G$5:$G$16</definedName>
    <definedName name="solver_adj" localSheetId="0" hidden="1">'h.w-1'!$E$1:$E$2</definedName>
    <definedName name="solver_adj" localSheetId="1" hidden="1">'h.w-2'!$E$1:$E$2</definedName>
    <definedName name="solver_adj" localSheetId="3" hidden="1">'tir-soton'!$B$1:$B$4</definedName>
    <definedName name="solver_adj" localSheetId="2" hidden="1">'Truss-Optimization-1'!$C$5:$C$10</definedName>
    <definedName name="solver_cvg" localSheetId="4" hidden="1">0.0001</definedName>
    <definedName name="solver_cvg" localSheetId="5" hidden="1">0.000001</definedName>
    <definedName name="solver_cvg" localSheetId="6" hidden="1">0.0001</definedName>
    <definedName name="solver_cvg" localSheetId="0" hidden="1">0.000000001</definedName>
    <definedName name="solver_cvg" localSheetId="1" hidden="1">0.0000000000000001</definedName>
    <definedName name="solver_cvg" localSheetId="3" hidden="1">0.000001</definedName>
    <definedName name="solver_cvg" localSheetId="2" hidden="1">0.0001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4" hidden="1">1</definedName>
    <definedName name="solver_eng" localSheetId="6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0" hidden="1">2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4" hidden="1">5000</definedName>
    <definedName name="solver_itr" localSheetId="5" hidden="1">5000</definedName>
    <definedName name="solver_itr" localSheetId="6" hidden="1">100</definedName>
    <definedName name="solver_itr" localSheetId="0" hidden="1">100</definedName>
    <definedName name="solver_itr" localSheetId="1" hidden="1">100</definedName>
    <definedName name="solver_itr" localSheetId="3" hidden="1">100</definedName>
    <definedName name="solver_itr" localSheetId="2" hidden="1">10000</definedName>
    <definedName name="solver_lhs1" localSheetId="4" hidden="1">'01-Truss'!$C$11</definedName>
    <definedName name="solver_lhs1" localSheetId="5" hidden="1">'02-Truss'!$E$150</definedName>
    <definedName name="solver_lhs1" localSheetId="6" hidden="1">'03-Truss'!$B$11</definedName>
    <definedName name="solver_lhs1" localSheetId="0" hidden="1">'h.w-1'!$A$6</definedName>
    <definedName name="solver_lhs1" localSheetId="1" hidden="1">'h.w-2'!$E$2</definedName>
    <definedName name="solver_lhs1" localSheetId="3" hidden="1">'tir-soton'!$B$13</definedName>
    <definedName name="solver_lhs1" localSheetId="2" hidden="1">'Truss-Optimization-1'!$C$5</definedName>
    <definedName name="solver_lhs10" localSheetId="4" hidden="1">'01-Truss'!$C$14</definedName>
    <definedName name="solver_lhs10" localSheetId="5" hidden="1">'02-Truss'!$E$159</definedName>
    <definedName name="solver_lhs10" localSheetId="6" hidden="1">'03-Truss'!$B$15</definedName>
    <definedName name="solver_lhs10" localSheetId="3" hidden="1">'tir-soton'!$B$4</definedName>
    <definedName name="solver_lhs10" localSheetId="2" hidden="1">'Truss-Optimization-1'!$L$23</definedName>
    <definedName name="solver_lhs11" localSheetId="4" hidden="1">'01-Truss'!$F$130</definedName>
    <definedName name="solver_lhs11" localSheetId="5" hidden="1">'02-Truss'!$E$160</definedName>
    <definedName name="solver_lhs11" localSheetId="6" hidden="1">'03-Truss'!$B$16</definedName>
    <definedName name="solver_lhs11" localSheetId="3" hidden="1">'tir-soton'!$B$3</definedName>
    <definedName name="solver_lhs11" localSheetId="2" hidden="1">'Truss-Optimization-1'!$L$22</definedName>
    <definedName name="solver_lhs12" localSheetId="4" hidden="1">'01-Truss'!$F$123</definedName>
    <definedName name="solver_lhs12" localSheetId="5" hidden="1">'02-Truss'!$E$161</definedName>
    <definedName name="solver_lhs12" localSheetId="6" hidden="1">'03-Truss'!$B$15</definedName>
    <definedName name="solver_lhs12" localSheetId="3" hidden="1">'tir-soton'!$B$16</definedName>
    <definedName name="solver_lhs12" localSheetId="2" hidden="1">'Truss-Optimization-1'!$L$21</definedName>
    <definedName name="solver_lhs13" localSheetId="4" hidden="1">'01-Truss'!$F$124</definedName>
    <definedName name="solver_lhs13" localSheetId="5" hidden="1">'02-Truss'!$E$162</definedName>
    <definedName name="solver_lhs13" localSheetId="6" hidden="1">'03-Truss'!$B$16</definedName>
    <definedName name="solver_lhs13" localSheetId="3" hidden="1">'tir-soton'!$B$2</definedName>
    <definedName name="solver_lhs13" localSheetId="2" hidden="1">'Truss-Optimization-1'!$F$61</definedName>
    <definedName name="solver_lhs14" localSheetId="4" hidden="1">'01-Truss'!$F$125</definedName>
    <definedName name="solver_lhs14" localSheetId="5" hidden="1">'02-Truss'!$B$5</definedName>
    <definedName name="solver_lhs14" localSheetId="6" hidden="1">'03-Truss'!$B$17</definedName>
    <definedName name="solver_lhs14" localSheetId="3" hidden="1">'tir-soton'!$B$2</definedName>
    <definedName name="solver_lhs14" localSheetId="2" hidden="1">'Truss-Optimization-1'!$F$62</definedName>
    <definedName name="solver_lhs15" localSheetId="4" hidden="1">'01-Truss'!$F$126</definedName>
    <definedName name="solver_lhs15" localSheetId="5" hidden="1">'02-Truss'!$B$5</definedName>
    <definedName name="solver_lhs15" localSheetId="6" hidden="1">'03-Truss'!$L$37</definedName>
    <definedName name="solver_lhs15" localSheetId="3" hidden="1">'tir-soton'!$B$1</definedName>
    <definedName name="solver_lhs15" localSheetId="2" hidden="1">'Truss-Optimization-1'!$F$63</definedName>
    <definedName name="solver_lhs16" localSheetId="4" hidden="1">'01-Truss'!$F$128</definedName>
    <definedName name="solver_lhs16" localSheetId="5" hidden="1">'02-Truss'!$B$6</definedName>
    <definedName name="solver_lhs16" localSheetId="6" hidden="1">'03-Truss'!$L$36</definedName>
    <definedName name="solver_lhs16" localSheetId="3" hidden="1">'tir-soton'!$B$1</definedName>
    <definedName name="solver_lhs17" localSheetId="4" hidden="1">'01-Truss'!$F$129</definedName>
    <definedName name="solver_lhs17" localSheetId="5" hidden="1">'02-Truss'!$B$6</definedName>
    <definedName name="solver_lhs17" localSheetId="6" hidden="1">'03-Truss'!$L$35</definedName>
    <definedName name="solver_lhs17" localSheetId="3" hidden="1">'tir-soton'!$B$2</definedName>
    <definedName name="solver_lhs18" localSheetId="4" hidden="1">'01-Truss'!$C$15</definedName>
    <definedName name="solver_lhs18" localSheetId="5" hidden="1">'02-Truss'!$B$7</definedName>
    <definedName name="solver_lhs18" localSheetId="6" hidden="1">'03-Truss'!$L$34</definedName>
    <definedName name="solver_lhs19" localSheetId="4" hidden="1">'01-Truss'!$L$34</definedName>
    <definedName name="solver_lhs19" localSheetId="5" hidden="1">'02-Truss'!$B$7</definedName>
    <definedName name="solver_lhs19" localSheetId="6" hidden="1">'03-Truss'!$L$33</definedName>
    <definedName name="solver_lhs2" localSheetId="4" hidden="1">'01-Truss'!$C$10</definedName>
    <definedName name="solver_lhs2" localSheetId="5" hidden="1">'02-Truss'!$E$151</definedName>
    <definedName name="solver_lhs2" localSheetId="6" hidden="1">'03-Truss'!$B$10</definedName>
    <definedName name="solver_lhs2" localSheetId="0" hidden="1">'h.w-1'!$A$7</definedName>
    <definedName name="solver_lhs2" localSheetId="1" hidden="1">'h.w-2'!$E$2</definedName>
    <definedName name="solver_lhs2" localSheetId="3" hidden="1">'tir-soton'!$B$14</definedName>
    <definedName name="solver_lhs2" localSheetId="2" hidden="1">'Truss-Optimization-1'!$C$5</definedName>
    <definedName name="solver_lhs20" localSheetId="4" hidden="1">'01-Truss'!$L$41</definedName>
    <definedName name="solver_lhs20" localSheetId="5" hidden="1">'02-Truss'!$B$8</definedName>
    <definedName name="solver_lhs20" localSheetId="6" hidden="1">'03-Truss'!$L$32</definedName>
    <definedName name="solver_lhs21" localSheetId="4" hidden="1">'01-Truss'!$L$40</definedName>
    <definedName name="solver_lhs21" localSheetId="5" hidden="1">'02-Truss'!$B$8</definedName>
    <definedName name="solver_lhs21" localSheetId="6" hidden="1">'03-Truss'!$L$31</definedName>
    <definedName name="solver_lhs22" localSheetId="4" hidden="1">'01-Truss'!$L$39</definedName>
    <definedName name="solver_lhs22" localSheetId="5" hidden="1">'02-Truss'!$B$9</definedName>
    <definedName name="solver_lhs22" localSheetId="6" hidden="1">'03-Truss'!$L$30</definedName>
    <definedName name="solver_lhs23" localSheetId="4" hidden="1">'01-Truss'!$L$38</definedName>
    <definedName name="solver_lhs23" localSheetId="5" hidden="1">'02-Truss'!$B$9</definedName>
    <definedName name="solver_lhs23" localSheetId="6" hidden="1">'03-Truss'!$L$29</definedName>
    <definedName name="solver_lhs24" localSheetId="4" hidden="1">'01-Truss'!$L$37</definedName>
    <definedName name="solver_lhs24" localSheetId="5" hidden="1">'02-Truss'!$B$10</definedName>
    <definedName name="solver_lhs24" localSheetId="6" hidden="1">'03-Truss'!$L$28</definedName>
    <definedName name="solver_lhs25" localSheetId="4" hidden="1">'01-Truss'!$L$36</definedName>
    <definedName name="solver_lhs25" localSheetId="5" hidden="1">'02-Truss'!$B$10</definedName>
    <definedName name="solver_lhs25" localSheetId="6" hidden="1">'03-Truss'!$L$27</definedName>
    <definedName name="solver_lhs26" localSheetId="4" hidden="1">'01-Truss'!$L$35</definedName>
    <definedName name="solver_lhs26" localSheetId="5" hidden="1">'02-Truss'!$B$11</definedName>
    <definedName name="solver_lhs26" localSheetId="6" hidden="1">'03-Truss'!$L$26</definedName>
    <definedName name="solver_lhs27" localSheetId="4" hidden="1">'01-Truss'!$L$33</definedName>
    <definedName name="solver_lhs27" localSheetId="5" hidden="1">'02-Truss'!$B$11</definedName>
    <definedName name="solver_lhs27" localSheetId="6" hidden="1">'03-Truss'!$L$25</definedName>
    <definedName name="solver_lhs28" localSheetId="4" hidden="1">'01-Truss'!$L$42</definedName>
    <definedName name="solver_lhs28" localSheetId="5" hidden="1">'02-Truss'!$B$12</definedName>
    <definedName name="solver_lhs28" localSheetId="6" hidden="1">'03-Truss'!$B$18</definedName>
    <definedName name="solver_lhs29" localSheetId="4" hidden="1">'01-Truss'!$C$15</definedName>
    <definedName name="solver_lhs29" localSheetId="5" hidden="1">'02-Truss'!$B$12</definedName>
    <definedName name="solver_lhs29" localSheetId="6" hidden="1">'03-Truss'!$B$17</definedName>
    <definedName name="solver_lhs3" localSheetId="4" hidden="1">'01-Truss'!$C$12</definedName>
    <definedName name="solver_lhs3" localSheetId="5" hidden="1">'02-Truss'!$E$152</definedName>
    <definedName name="solver_lhs3" localSheetId="6" hidden="1">'03-Truss'!$B$12</definedName>
    <definedName name="solver_lhs3" localSheetId="0" hidden="1">'h.w-1'!$A$8</definedName>
    <definedName name="solver_lhs3" localSheetId="1" hidden="1">'h.w-2'!$E$1</definedName>
    <definedName name="solver_lhs3" localSheetId="3" hidden="1">'tir-soton'!$B$2</definedName>
    <definedName name="solver_lhs3" localSheetId="2" hidden="1">'Truss-Optimization-1'!$C$6</definedName>
    <definedName name="solver_lhs30" localSheetId="4" hidden="1">'01-Truss'!$C$10</definedName>
    <definedName name="solver_lhs30" localSheetId="5" hidden="1">'02-Truss'!$B$13</definedName>
    <definedName name="solver_lhs30" localSheetId="6" hidden="1">'03-Truss'!$B$18</definedName>
    <definedName name="solver_lhs31" localSheetId="4" hidden="1">'01-Truss'!$C$6</definedName>
    <definedName name="solver_lhs31" localSheetId="5" hidden="1">'02-Truss'!$B$13</definedName>
    <definedName name="solver_lhs31" localSheetId="6" hidden="1">'03-Truss'!$B$10</definedName>
    <definedName name="solver_lhs32" localSheetId="4" hidden="1">'01-Truss'!$C$9</definedName>
    <definedName name="solver_lhs32" localSheetId="5" hidden="1">'02-Truss'!$B$14</definedName>
    <definedName name="solver_lhs32" localSheetId="6" hidden="1">'03-Truss'!$B$5</definedName>
    <definedName name="solver_lhs33" localSheetId="4" hidden="1">'01-Truss'!$C$9</definedName>
    <definedName name="solver_lhs33" localSheetId="5" hidden="1">'02-Truss'!$B$14</definedName>
    <definedName name="solver_lhs33" localSheetId="6" hidden="1">'03-Truss'!$B$6</definedName>
    <definedName name="solver_lhs34" localSheetId="4" hidden="1">'01-Truss'!$C$8</definedName>
    <definedName name="solver_lhs34" localSheetId="5" hidden="1">'02-Truss'!$B$15</definedName>
    <definedName name="solver_lhs34" localSheetId="6" hidden="1">'03-Truss'!$B$6</definedName>
    <definedName name="solver_lhs35" localSheetId="4" hidden="1">'01-Truss'!$C$8</definedName>
    <definedName name="solver_lhs35" localSheetId="5" hidden="1">'02-Truss'!$B$15</definedName>
    <definedName name="solver_lhs35" localSheetId="6" hidden="1">'03-Truss'!$B$7</definedName>
    <definedName name="solver_lhs36" localSheetId="4" hidden="1">'01-Truss'!$C$7</definedName>
    <definedName name="solver_lhs36" localSheetId="5" hidden="1">'02-Truss'!$B$16</definedName>
    <definedName name="solver_lhs36" localSheetId="6" hidden="1">'03-Truss'!$B$8</definedName>
    <definedName name="solver_lhs37" localSheetId="4" hidden="1">'01-Truss'!$C$6</definedName>
    <definedName name="solver_lhs37" localSheetId="5" hidden="1">'02-Truss'!$B$16</definedName>
    <definedName name="solver_lhs37" localSheetId="6" hidden="1">'03-Truss'!$B$7</definedName>
    <definedName name="solver_lhs38" localSheetId="4" hidden="1">'01-Truss'!$C$7</definedName>
    <definedName name="solver_lhs38" localSheetId="5" hidden="1">'02-Truss'!$B$17</definedName>
    <definedName name="solver_lhs38" localSheetId="6" hidden="1">'03-Truss'!$B$8</definedName>
    <definedName name="solver_lhs39" localSheetId="4" hidden="1">'01-Truss'!$J$123</definedName>
    <definedName name="solver_lhs39" localSheetId="5" hidden="1">'02-Truss'!$B$17</definedName>
    <definedName name="solver_lhs39" localSheetId="6" hidden="1">'03-Truss'!$B$9</definedName>
    <definedName name="solver_lhs4" localSheetId="4" hidden="1">'01-Truss'!$C$11</definedName>
    <definedName name="solver_lhs4" localSheetId="5" hidden="1">'02-Truss'!$E$153</definedName>
    <definedName name="solver_lhs4" localSheetId="6" hidden="1">'03-Truss'!$B$11</definedName>
    <definedName name="solver_lhs4" localSheetId="0" hidden="1">'h.w-1'!$E$2</definedName>
    <definedName name="solver_lhs4" localSheetId="1" hidden="1">'h.w-2'!$E$1</definedName>
    <definedName name="solver_lhs4" localSheetId="3" hidden="1">'tir-soton'!$B$1</definedName>
    <definedName name="solver_lhs4" localSheetId="2" hidden="1">'Truss-Optimization-1'!$C$6</definedName>
    <definedName name="solver_lhs40" localSheetId="4" hidden="1">'01-Truss'!$J$124</definedName>
    <definedName name="solver_lhs40" localSheetId="5" hidden="1">'02-Truss'!$B$18</definedName>
    <definedName name="solver_lhs40" localSheetId="6" hidden="1">'03-Truss'!$B$9</definedName>
    <definedName name="solver_lhs41" localSheetId="4" hidden="1">'01-Truss'!$J$125</definedName>
    <definedName name="solver_lhs41" localSheetId="5" hidden="1">'02-Truss'!$B$18</definedName>
    <definedName name="solver_lhs41" localSheetId="6" hidden="1">'03-Truss'!$B$5</definedName>
    <definedName name="solver_lhs42" localSheetId="4" hidden="1">'01-Truss'!$J$126</definedName>
    <definedName name="solver_lhs42" localSheetId="5" hidden="1">'02-Truss'!$L$25</definedName>
    <definedName name="solver_lhs42" localSheetId="6" hidden="1">'03-Truss'!$E$150</definedName>
    <definedName name="solver_lhs43" localSheetId="4" hidden="1">'01-Truss'!$J$127</definedName>
    <definedName name="solver_lhs43" localSheetId="5" hidden="1">'02-Truss'!$L$26</definedName>
    <definedName name="solver_lhs43" localSheetId="6" hidden="1">'03-Truss'!$E$151</definedName>
    <definedName name="solver_lhs44" localSheetId="4" hidden="1">'01-Truss'!$J$128</definedName>
    <definedName name="solver_lhs44" localSheetId="5" hidden="1">'02-Truss'!$L$27</definedName>
    <definedName name="solver_lhs44" localSheetId="6" hidden="1">'03-Truss'!$E$152</definedName>
    <definedName name="solver_lhs45" localSheetId="4" hidden="1">'01-Truss'!$J$129</definedName>
    <definedName name="solver_lhs45" localSheetId="5" hidden="1">'02-Truss'!$L$28</definedName>
    <definedName name="solver_lhs45" localSheetId="6" hidden="1">'03-Truss'!$E$153</definedName>
    <definedName name="solver_lhs46" localSheetId="4" hidden="1">'01-Truss'!$J$130</definedName>
    <definedName name="solver_lhs46" localSheetId="5" hidden="1">'02-Truss'!$L$29</definedName>
    <definedName name="solver_lhs46" localSheetId="6" hidden="1">'03-Truss'!$E$154</definedName>
    <definedName name="solver_lhs47" localSheetId="5" hidden="1">'02-Truss'!$L$30</definedName>
    <definedName name="solver_lhs47" localSheetId="6" hidden="1">'03-Truss'!$E$155</definedName>
    <definedName name="solver_lhs48" localSheetId="5" hidden="1">'02-Truss'!$L$31</definedName>
    <definedName name="solver_lhs48" localSheetId="6" hidden="1">'03-Truss'!$E$156</definedName>
    <definedName name="solver_lhs49" localSheetId="5" hidden="1">'02-Truss'!$L$32</definedName>
    <definedName name="solver_lhs49" localSheetId="6" hidden="1">'03-Truss'!$E$157</definedName>
    <definedName name="solver_lhs5" localSheetId="4" hidden="1">'01-Truss'!$C$12</definedName>
    <definedName name="solver_lhs5" localSheetId="5" hidden="1">'02-Truss'!$E$154</definedName>
    <definedName name="solver_lhs5" localSheetId="6" hidden="1">'03-Truss'!$B$13</definedName>
    <definedName name="solver_lhs5" localSheetId="0" hidden="1">'h.w-1'!$E$1</definedName>
    <definedName name="solver_lhs5" localSheetId="1" hidden="1">'h.w-2'!$E$2</definedName>
    <definedName name="solver_lhs5" localSheetId="3" hidden="1">'tir-soton'!$B$2</definedName>
    <definedName name="solver_lhs5" localSheetId="2" hidden="1">'Truss-Optimization-1'!$C$7</definedName>
    <definedName name="solver_lhs50" localSheetId="5" hidden="1">'02-Truss'!$L$33</definedName>
    <definedName name="solver_lhs50" localSheetId="6" hidden="1">'03-Truss'!$E$158</definedName>
    <definedName name="solver_lhs51" localSheetId="5" hidden="1">'02-Truss'!$L$34</definedName>
    <definedName name="solver_lhs51" localSheetId="6" hidden="1">'03-Truss'!$E$160</definedName>
    <definedName name="solver_lhs52" localSheetId="5" hidden="1">'02-Truss'!$L$35</definedName>
    <definedName name="solver_lhs52" localSheetId="6" hidden="1">'03-Truss'!$E$159</definedName>
    <definedName name="solver_lhs53" localSheetId="5" hidden="1">'02-Truss'!$L$36</definedName>
    <definedName name="solver_lhs53" localSheetId="6" hidden="1">'03-Truss'!$E$161</definedName>
    <definedName name="solver_lhs54" localSheetId="5" hidden="1">'02-Truss'!$L$37</definedName>
    <definedName name="solver_lhs6" localSheetId="4" hidden="1">'01-Truss'!$C$13</definedName>
    <definedName name="solver_lhs6" localSheetId="5" hidden="1">'02-Truss'!$E$155</definedName>
    <definedName name="solver_lhs6" localSheetId="6" hidden="1">'03-Truss'!$B$12</definedName>
    <definedName name="solver_lhs6" localSheetId="0" hidden="1">'h.w-1'!$E$2</definedName>
    <definedName name="solver_lhs6" localSheetId="1" hidden="1">'h.w-2'!$D$15</definedName>
    <definedName name="solver_lhs6" localSheetId="3" hidden="1">'tir-soton'!$B$4</definedName>
    <definedName name="solver_lhs6" localSheetId="2" hidden="1">'Truss-Optimization-1'!$C$7</definedName>
    <definedName name="solver_lhs7" localSheetId="4" hidden="1">'01-Truss'!$C$14</definedName>
    <definedName name="solver_lhs7" localSheetId="5" hidden="1">'02-Truss'!$E$156</definedName>
    <definedName name="solver_lhs7" localSheetId="6" hidden="1">'03-Truss'!$B$13</definedName>
    <definedName name="solver_lhs7" localSheetId="0" hidden="1">'h.w-1'!$E$1</definedName>
    <definedName name="solver_lhs7" localSheetId="3" hidden="1">'tir-soton'!$B$3</definedName>
    <definedName name="solver_lhs7" localSheetId="2" hidden="1">'Truss-Optimization-1'!$L$22</definedName>
    <definedName name="solver_lhs8" localSheetId="4" hidden="1">'01-Truss'!$C$13</definedName>
    <definedName name="solver_lhs8" localSheetId="5" hidden="1">'02-Truss'!$E$157</definedName>
    <definedName name="solver_lhs8" localSheetId="6" hidden="1">'03-Truss'!$B$14</definedName>
    <definedName name="solver_lhs8" localSheetId="0" hidden="1">'h.w-1'!$A$9</definedName>
    <definedName name="solver_lhs8" localSheetId="3" hidden="1">'tir-soton'!$B$2</definedName>
    <definedName name="solver_lhs8" localSheetId="2" hidden="1">'Truss-Optimization-1'!$L$23</definedName>
    <definedName name="solver_lhs9" localSheetId="4" hidden="1">'01-Truss'!$F$127</definedName>
    <definedName name="solver_lhs9" localSheetId="5" hidden="1">'02-Truss'!$E$158</definedName>
    <definedName name="solver_lhs9" localSheetId="6" hidden="1">'03-Truss'!$B$14</definedName>
    <definedName name="solver_lhs9" localSheetId="0" hidden="1">'h.w-1'!$E$2</definedName>
    <definedName name="solver_lhs9" localSheetId="3" hidden="1">'tir-soton'!$B$1</definedName>
    <definedName name="solver_lhs9" localSheetId="2" hidden="1">'Truss-Optimization-1'!$L$21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in" localSheetId="0" hidden="1">2</definedName>
    <definedName name="solver_lin" localSheetId="1" hidden="1">2</definedName>
    <definedName name="solver_lin" localSheetId="3" hidden="1">2</definedName>
    <definedName name="solver_lin" localSheetId="2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0" hidden="1">2</definedName>
    <definedName name="solver_neg" localSheetId="1" hidden="1">2</definedName>
    <definedName name="solver_neg" localSheetId="3" hidden="1">2</definedName>
    <definedName name="solver_neg" localSheetId="2" hidden="1">2</definedName>
    <definedName name="solver_num" localSheetId="4" hidden="1">38</definedName>
    <definedName name="solver_num" localSheetId="5" hidden="1">54</definedName>
    <definedName name="solver_num" localSheetId="6" hidden="1">53</definedName>
    <definedName name="solver_num" localSheetId="0" hidden="1">9</definedName>
    <definedName name="solver_num" localSheetId="1" hidden="1">5</definedName>
    <definedName name="solver_num" localSheetId="3" hidden="1">16</definedName>
    <definedName name="solver_num" localSheetId="2" hidden="1">15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4" hidden="1">'01-Truss'!$M$33</definedName>
    <definedName name="solver_opt" localSheetId="5" hidden="1">'02-Truss'!$D$2</definedName>
    <definedName name="solver_opt" localSheetId="6" hidden="1">'03-Truss'!$D$2</definedName>
    <definedName name="solver_opt" localSheetId="0" hidden="1">'h.w-1'!$E$3</definedName>
    <definedName name="solver_opt" localSheetId="1" hidden="1">'h.w-2'!$B$14</definedName>
    <definedName name="solver_opt" localSheetId="3" hidden="1">'tir-soton'!$B$18</definedName>
    <definedName name="solver_opt" localSheetId="2" hidden="1">'Truss-Optimization-1'!$F$66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0" hidden="1">0.00000000001</definedName>
    <definedName name="solver_pre" localSheetId="1" hidden="1">0.00000000000001</definedName>
    <definedName name="solver_pre" localSheetId="3" hidden="1">0.000001</definedName>
    <definedName name="solver_pre" localSheetId="2" hidden="1">0.000001</definedName>
    <definedName name="solver_rel1" localSheetId="4" hidden="1">1</definedName>
    <definedName name="solver_rel1" localSheetId="5" hidden="1">2</definedName>
    <definedName name="solver_rel1" localSheetId="6" hidden="1">1</definedName>
    <definedName name="solver_rel1" localSheetId="0" hidden="1">3</definedName>
    <definedName name="solver_rel1" localSheetId="1" hidden="1">1</definedName>
    <definedName name="solver_rel1" localSheetId="3" hidden="1">1</definedName>
    <definedName name="solver_rel1" localSheetId="2" hidden="1">1</definedName>
    <definedName name="solver_rel10" localSheetId="4" hidden="1">3</definedName>
    <definedName name="solver_rel10" localSheetId="5" hidden="1">2</definedName>
    <definedName name="solver_rel10" localSheetId="6" hidden="1">3</definedName>
    <definedName name="solver_rel10" localSheetId="3" hidden="1">1</definedName>
    <definedName name="solver_rel10" localSheetId="2" hidden="1">1</definedName>
    <definedName name="solver_rel11" localSheetId="4" hidden="1">2</definedName>
    <definedName name="solver_rel11" localSheetId="5" hidden="1">2</definedName>
    <definedName name="solver_rel11" localSheetId="6" hidden="1">1</definedName>
    <definedName name="solver_rel11" localSheetId="3" hidden="1">3</definedName>
    <definedName name="solver_rel11" localSheetId="2" hidden="1">1</definedName>
    <definedName name="solver_rel12" localSheetId="4" hidden="1">2</definedName>
    <definedName name="solver_rel12" localSheetId="5" hidden="1">2</definedName>
    <definedName name="solver_rel12" localSheetId="6" hidden="1">1</definedName>
    <definedName name="solver_rel12" localSheetId="3" hidden="1">1</definedName>
    <definedName name="solver_rel12" localSheetId="2" hidden="1">1</definedName>
    <definedName name="solver_rel13" localSheetId="4" hidden="1">2</definedName>
    <definedName name="solver_rel13" localSheetId="5" hidden="1">2</definedName>
    <definedName name="solver_rel13" localSheetId="6" hidden="1">3</definedName>
    <definedName name="solver_rel13" localSheetId="3" hidden="1">4</definedName>
    <definedName name="solver_rel13" localSheetId="2" hidden="1">2</definedName>
    <definedName name="solver_rel14" localSheetId="4" hidden="1">2</definedName>
    <definedName name="solver_rel14" localSheetId="5" hidden="1">3</definedName>
    <definedName name="solver_rel14" localSheetId="6" hidden="1">3</definedName>
    <definedName name="solver_rel14" localSheetId="3" hidden="1">1</definedName>
    <definedName name="solver_rel14" localSheetId="2" hidden="1">2</definedName>
    <definedName name="solver_rel15" localSheetId="4" hidden="1">2</definedName>
    <definedName name="solver_rel15" localSheetId="5" hidden="1">1</definedName>
    <definedName name="solver_rel15" localSheetId="6" hidden="1">1</definedName>
    <definedName name="solver_rel15" localSheetId="3" hidden="1">1</definedName>
    <definedName name="solver_rel15" localSheetId="2" hidden="1">2</definedName>
    <definedName name="solver_rel16" localSheetId="4" hidden="1">2</definedName>
    <definedName name="solver_rel16" localSheetId="5" hidden="1">3</definedName>
    <definedName name="solver_rel16" localSheetId="6" hidden="1">1</definedName>
    <definedName name="solver_rel16" localSheetId="3" hidden="1">3</definedName>
    <definedName name="solver_rel17" localSheetId="4" hidden="1">2</definedName>
    <definedName name="solver_rel17" localSheetId="5" hidden="1">1</definedName>
    <definedName name="solver_rel17" localSheetId="6" hidden="1">1</definedName>
    <definedName name="solver_rel17" localSheetId="3" hidden="1">3</definedName>
    <definedName name="solver_rel18" localSheetId="4" hidden="1">3</definedName>
    <definedName name="solver_rel18" localSheetId="5" hidden="1">3</definedName>
    <definedName name="solver_rel18" localSheetId="6" hidden="1">1</definedName>
    <definedName name="solver_rel19" localSheetId="4" hidden="1">1</definedName>
    <definedName name="solver_rel19" localSheetId="5" hidden="1">1</definedName>
    <definedName name="solver_rel19" localSheetId="6" hidden="1">1</definedName>
    <definedName name="solver_rel2" localSheetId="4" hidden="1">1</definedName>
    <definedName name="solver_rel2" localSheetId="5" hidden="1">2</definedName>
    <definedName name="solver_rel2" localSheetId="6" hidden="1">1</definedName>
    <definedName name="solver_rel2" localSheetId="0" hidden="1">3</definedName>
    <definedName name="solver_rel2" localSheetId="1" hidden="1">3</definedName>
    <definedName name="solver_rel2" localSheetId="3" hidden="1">1</definedName>
    <definedName name="solver_rel2" localSheetId="2" hidden="1">3</definedName>
    <definedName name="solver_rel20" localSheetId="4" hidden="1">1</definedName>
    <definedName name="solver_rel20" localSheetId="5" hidden="1">3</definedName>
    <definedName name="solver_rel20" localSheetId="6" hidden="1">1</definedName>
    <definedName name="solver_rel21" localSheetId="4" hidden="1">1</definedName>
    <definedName name="solver_rel21" localSheetId="5" hidden="1">1</definedName>
    <definedName name="solver_rel21" localSheetId="6" hidden="1">1</definedName>
    <definedName name="solver_rel22" localSheetId="4" hidden="1">1</definedName>
    <definedName name="solver_rel22" localSheetId="5" hidden="1">3</definedName>
    <definedName name="solver_rel22" localSheetId="6" hidden="1">1</definedName>
    <definedName name="solver_rel23" localSheetId="4" hidden="1">1</definedName>
    <definedName name="solver_rel23" localSheetId="5" hidden="1">1</definedName>
    <definedName name="solver_rel23" localSheetId="6" hidden="1">1</definedName>
    <definedName name="solver_rel24" localSheetId="4" hidden="1">1</definedName>
    <definedName name="solver_rel24" localSheetId="5" hidden="1">3</definedName>
    <definedName name="solver_rel24" localSheetId="6" hidden="1">1</definedName>
    <definedName name="solver_rel25" localSheetId="4" hidden="1">1</definedName>
    <definedName name="solver_rel25" localSheetId="5" hidden="1">1</definedName>
    <definedName name="solver_rel25" localSheetId="6" hidden="1">1</definedName>
    <definedName name="solver_rel26" localSheetId="4" hidden="1">1</definedName>
    <definedName name="solver_rel26" localSheetId="5" hidden="1">3</definedName>
    <definedName name="solver_rel26" localSheetId="6" hidden="1">1</definedName>
    <definedName name="solver_rel27" localSheetId="4" hidden="1">1</definedName>
    <definedName name="solver_rel27" localSheetId="5" hidden="1">1</definedName>
    <definedName name="solver_rel27" localSheetId="6" hidden="1">1</definedName>
    <definedName name="solver_rel28" localSheetId="4" hidden="1">1</definedName>
    <definedName name="solver_rel28" localSheetId="5" hidden="1">3</definedName>
    <definedName name="solver_rel28" localSheetId="6" hidden="1">1</definedName>
    <definedName name="solver_rel29" localSheetId="4" hidden="1">1</definedName>
    <definedName name="solver_rel29" localSheetId="5" hidden="1">1</definedName>
    <definedName name="solver_rel29" localSheetId="6" hidden="1">1</definedName>
    <definedName name="solver_rel3" localSheetId="4" hidden="1">1</definedName>
    <definedName name="solver_rel3" localSheetId="5" hidden="1">2</definedName>
    <definedName name="solver_rel3" localSheetId="6" hidden="1">1</definedName>
    <definedName name="solver_rel3" localSheetId="0" hidden="1">3</definedName>
    <definedName name="solver_rel3" localSheetId="1" hidden="1">1</definedName>
    <definedName name="solver_rel3" localSheetId="3" hidden="1">3</definedName>
    <definedName name="solver_rel3" localSheetId="2" hidden="1">1</definedName>
    <definedName name="solver_rel30" localSheetId="4" hidden="1">3</definedName>
    <definedName name="solver_rel30" localSheetId="5" hidden="1">3</definedName>
    <definedName name="solver_rel30" localSheetId="6" hidden="1">3</definedName>
    <definedName name="solver_rel31" localSheetId="4" hidden="1">3</definedName>
    <definedName name="solver_rel31" localSheetId="5" hidden="1">1</definedName>
    <definedName name="solver_rel31" localSheetId="6" hidden="1">3</definedName>
    <definedName name="solver_rel32" localSheetId="4" hidden="1">3</definedName>
    <definedName name="solver_rel32" localSheetId="5" hidden="1">3</definedName>
    <definedName name="solver_rel32" localSheetId="6" hidden="1">1</definedName>
    <definedName name="solver_rel33" localSheetId="4" hidden="1">1</definedName>
    <definedName name="solver_rel33" localSheetId="5" hidden="1">1</definedName>
    <definedName name="solver_rel33" localSheetId="6" hidden="1">3</definedName>
    <definedName name="solver_rel34" localSheetId="4" hidden="1">1</definedName>
    <definedName name="solver_rel34" localSheetId="5" hidden="1">3</definedName>
    <definedName name="solver_rel34" localSheetId="6" hidden="1">1</definedName>
    <definedName name="solver_rel35" localSheetId="4" hidden="1">3</definedName>
    <definedName name="solver_rel35" localSheetId="5" hidden="1">1</definedName>
    <definedName name="solver_rel35" localSheetId="6" hidden="1">3</definedName>
    <definedName name="solver_rel36" localSheetId="4" hidden="1">1</definedName>
    <definedName name="solver_rel36" localSheetId="5" hidden="1">3</definedName>
    <definedName name="solver_rel36" localSheetId="6" hidden="1">1</definedName>
    <definedName name="solver_rel37" localSheetId="4" hidden="1">1</definedName>
    <definedName name="solver_rel37" localSheetId="5" hidden="1">1</definedName>
    <definedName name="solver_rel37" localSheetId="6" hidden="1">1</definedName>
    <definedName name="solver_rel38" localSheetId="4" hidden="1">3</definedName>
    <definedName name="solver_rel38" localSheetId="5" hidden="1">3</definedName>
    <definedName name="solver_rel38" localSheetId="6" hidden="1">3</definedName>
    <definedName name="solver_rel39" localSheetId="4" hidden="1">2</definedName>
    <definedName name="solver_rel39" localSheetId="5" hidden="1">1</definedName>
    <definedName name="solver_rel39" localSheetId="6" hidden="1">3</definedName>
    <definedName name="solver_rel4" localSheetId="4" hidden="1">3</definedName>
    <definedName name="solver_rel4" localSheetId="5" hidden="1">2</definedName>
    <definedName name="solver_rel4" localSheetId="6" hidden="1">3</definedName>
    <definedName name="solver_rel4" localSheetId="0" hidden="1">3</definedName>
    <definedName name="solver_rel4" localSheetId="1" hidden="1">3</definedName>
    <definedName name="solver_rel4" localSheetId="3" hidden="1">3</definedName>
    <definedName name="solver_rel4" localSheetId="2" hidden="1">3</definedName>
    <definedName name="solver_rel40" localSheetId="4" hidden="1">2</definedName>
    <definedName name="solver_rel40" localSheetId="5" hidden="1">3</definedName>
    <definedName name="solver_rel40" localSheetId="6" hidden="1">1</definedName>
    <definedName name="solver_rel41" localSheetId="4" hidden="1">2</definedName>
    <definedName name="solver_rel41" localSheetId="5" hidden="1">1</definedName>
    <definedName name="solver_rel41" localSheetId="6" hidden="1">3</definedName>
    <definedName name="solver_rel42" localSheetId="4" hidden="1">2</definedName>
    <definedName name="solver_rel42" localSheetId="5" hidden="1">1</definedName>
    <definedName name="solver_rel42" localSheetId="6" hidden="1">2</definedName>
    <definedName name="solver_rel43" localSheetId="4" hidden="1">2</definedName>
    <definedName name="solver_rel43" localSheetId="5" hidden="1">1</definedName>
    <definedName name="solver_rel43" localSheetId="6" hidden="1">2</definedName>
    <definedName name="solver_rel44" localSheetId="4" hidden="1">2</definedName>
    <definedName name="solver_rel44" localSheetId="5" hidden="1">1</definedName>
    <definedName name="solver_rel44" localSheetId="6" hidden="1">2</definedName>
    <definedName name="solver_rel45" localSheetId="4" hidden="1">2</definedName>
    <definedName name="solver_rel45" localSheetId="5" hidden="1">1</definedName>
    <definedName name="solver_rel45" localSheetId="6" hidden="1">2</definedName>
    <definedName name="solver_rel46" localSheetId="4" hidden="1">2</definedName>
    <definedName name="solver_rel46" localSheetId="5" hidden="1">1</definedName>
    <definedName name="solver_rel46" localSheetId="6" hidden="1">2</definedName>
    <definedName name="solver_rel47" localSheetId="5" hidden="1">1</definedName>
    <definedName name="solver_rel47" localSheetId="6" hidden="1">2</definedName>
    <definedName name="solver_rel48" localSheetId="5" hidden="1">1</definedName>
    <definedName name="solver_rel48" localSheetId="6" hidden="1">2</definedName>
    <definedName name="solver_rel49" localSheetId="5" hidden="1">1</definedName>
    <definedName name="solver_rel49" localSheetId="6" hidden="1">2</definedName>
    <definedName name="solver_rel5" localSheetId="4" hidden="1">3</definedName>
    <definedName name="solver_rel5" localSheetId="5" hidden="1">2</definedName>
    <definedName name="solver_rel5" localSheetId="6" hidden="1">1</definedName>
    <definedName name="solver_rel5" localSheetId="0" hidden="1">3</definedName>
    <definedName name="solver_rel5" localSheetId="1" hidden="1">3</definedName>
    <definedName name="solver_rel5" localSheetId="3" hidden="1">3</definedName>
    <definedName name="solver_rel5" localSheetId="2" hidden="1">1</definedName>
    <definedName name="solver_rel50" localSheetId="5" hidden="1">1</definedName>
    <definedName name="solver_rel50" localSheetId="6" hidden="1">2</definedName>
    <definedName name="solver_rel51" localSheetId="5" hidden="1">1</definedName>
    <definedName name="solver_rel51" localSheetId="6" hidden="1">2</definedName>
    <definedName name="solver_rel52" localSheetId="5" hidden="1">1</definedName>
    <definedName name="solver_rel52" localSheetId="6" hidden="1">2</definedName>
    <definedName name="solver_rel53" localSheetId="5" hidden="1">1</definedName>
    <definedName name="solver_rel53" localSheetId="6" hidden="1">2</definedName>
    <definedName name="solver_rel54" localSheetId="5" hidden="1">1</definedName>
    <definedName name="solver_rel6" localSheetId="4" hidden="1">3</definedName>
    <definedName name="solver_rel6" localSheetId="5" hidden="1">2</definedName>
    <definedName name="solver_rel6" localSheetId="6" hidden="1">3</definedName>
    <definedName name="solver_rel6" localSheetId="0" hidden="1">1</definedName>
    <definedName name="solver_rel6" localSheetId="1" hidden="1">3</definedName>
    <definedName name="solver_rel6" localSheetId="3" hidden="1">3</definedName>
    <definedName name="solver_rel6" localSheetId="2" hidden="1">3</definedName>
    <definedName name="solver_rel7" localSheetId="4" hidden="1">1</definedName>
    <definedName name="solver_rel7" localSheetId="5" hidden="1">2</definedName>
    <definedName name="solver_rel7" localSheetId="6" hidden="1">3</definedName>
    <definedName name="solver_rel7" localSheetId="0" hidden="1">1</definedName>
    <definedName name="solver_rel7" localSheetId="3" hidden="1">1</definedName>
    <definedName name="solver_rel7" localSheetId="2" hidden="1">1</definedName>
    <definedName name="solver_rel8" localSheetId="4" hidden="1">1</definedName>
    <definedName name="solver_rel8" localSheetId="5" hidden="1">2</definedName>
    <definedName name="solver_rel8" localSheetId="6" hidden="1">3</definedName>
    <definedName name="solver_rel8" localSheetId="0" hidden="1">1</definedName>
    <definedName name="solver_rel8" localSheetId="3" hidden="1">3</definedName>
    <definedName name="solver_rel8" localSheetId="2" hidden="1">1</definedName>
    <definedName name="solver_rel9" localSheetId="4" hidden="1">2</definedName>
    <definedName name="solver_rel9" localSheetId="5" hidden="1">2</definedName>
    <definedName name="solver_rel9" localSheetId="6" hidden="1">1</definedName>
    <definedName name="solver_rel9" localSheetId="0" hidden="1">3</definedName>
    <definedName name="solver_rel9" localSheetId="3" hidden="1">4</definedName>
    <definedName name="solver_rel9" localSheetId="2" hidden="1">1</definedName>
    <definedName name="solver_rhs1" localSheetId="4" hidden="1">'01-Truss'!$E$11</definedName>
    <definedName name="solver_rhs1" localSheetId="5" hidden="1">0</definedName>
    <definedName name="solver_rhs1" localSheetId="6" hidden="1">'03-Truss'!$D$11</definedName>
    <definedName name="solver_rhs1" localSheetId="0" hidden="1">0</definedName>
    <definedName name="solver_rhs1" localSheetId="1" hidden="1">'h.w-2'!$B$6</definedName>
    <definedName name="solver_rhs1" localSheetId="3" hidden="1">'tir-soton'!$D$13</definedName>
    <definedName name="solver_rhs1" localSheetId="2" hidden="1">'Truss-Optimization-1'!$E$5</definedName>
    <definedName name="solver_rhs10" localSheetId="4" hidden="1">'01-Truss'!$D$14</definedName>
    <definedName name="solver_rhs10" localSheetId="5" hidden="1">0</definedName>
    <definedName name="solver_rhs10" localSheetId="6" hidden="1">'03-Truss'!$C$15</definedName>
    <definedName name="solver_rhs10" localSheetId="3" hidden="1">'tir-soton'!$D$6</definedName>
    <definedName name="solver_rhs10" localSheetId="2" hidden="1">'Truss-Optimization-1'!$M$23</definedName>
    <definedName name="solver_rhs11" localSheetId="4" hidden="1">0</definedName>
    <definedName name="solver_rhs11" localSheetId="5" hidden="1">0</definedName>
    <definedName name="solver_rhs11" localSheetId="6" hidden="1">'03-Truss'!$D$16</definedName>
    <definedName name="solver_rhs11" localSheetId="3" hidden="1">'tir-soton'!$B$5</definedName>
    <definedName name="solver_rhs11" localSheetId="2" hidden="1">'Truss-Optimization-1'!$M$22</definedName>
    <definedName name="solver_rhs12" localSheetId="4" hidden="1">0</definedName>
    <definedName name="solver_rhs12" localSheetId="5" hidden="1">0</definedName>
    <definedName name="solver_rhs12" localSheetId="6" hidden="1">'03-Truss'!$D$15</definedName>
    <definedName name="solver_rhs12" localSheetId="3" hidden="1">0</definedName>
    <definedName name="solver_rhs12" localSheetId="2" hidden="1">'Truss-Optimization-1'!$M$21</definedName>
    <definedName name="solver_rhs13" localSheetId="4" hidden="1">0</definedName>
    <definedName name="solver_rhs13" localSheetId="5" hidden="1">0</definedName>
    <definedName name="solver_rhs13" localSheetId="6" hidden="1">'03-Truss'!$C$16</definedName>
    <definedName name="solver_rhs13" localSheetId="3" hidden="1">integer</definedName>
    <definedName name="solver_rhs13" localSheetId="2" hidden="1">0</definedName>
    <definedName name="solver_rhs14" localSheetId="4" hidden="1">0</definedName>
    <definedName name="solver_rhs14" localSheetId="5" hidden="1">'02-Truss'!$C$5</definedName>
    <definedName name="solver_rhs14" localSheetId="6" hidden="1">'03-Truss'!$C$17</definedName>
    <definedName name="solver_rhs14" localSheetId="3" hidden="1">'tir-soton'!$D$8</definedName>
    <definedName name="solver_rhs14" localSheetId="2" hidden="1">0</definedName>
    <definedName name="solver_rhs15" localSheetId="4" hidden="1">0</definedName>
    <definedName name="solver_rhs15" localSheetId="5" hidden="1">'02-Truss'!$D$5</definedName>
    <definedName name="solver_rhs15" localSheetId="6" hidden="1">'03-Truss'!$M$37</definedName>
    <definedName name="solver_rhs15" localSheetId="3" hidden="1">'tir-soton'!$B$8</definedName>
    <definedName name="solver_rhs15" localSheetId="2" hidden="1">0</definedName>
    <definedName name="solver_rhs16" localSheetId="4" hidden="1">0</definedName>
    <definedName name="solver_rhs16" localSheetId="5" hidden="1">'02-Truss'!$C$6</definedName>
    <definedName name="solver_rhs16" localSheetId="6" hidden="1">'03-Truss'!$M$36</definedName>
    <definedName name="solver_rhs16" localSheetId="3" hidden="1">'tir-soton'!$B$8</definedName>
    <definedName name="solver_rhs17" localSheetId="4" hidden="1">0</definedName>
    <definedName name="solver_rhs17" localSheetId="5" hidden="1">'02-Truss'!$D$6</definedName>
    <definedName name="solver_rhs17" localSheetId="6" hidden="1">'03-Truss'!$M$35</definedName>
    <definedName name="solver_rhs17" localSheetId="3" hidden="1">'tir-soton'!$D$7</definedName>
    <definedName name="solver_rhs18" localSheetId="4" hidden="1">'01-Truss'!$D$15</definedName>
    <definedName name="solver_rhs18" localSheetId="5" hidden="1">'02-Truss'!$C$7</definedName>
    <definedName name="solver_rhs18" localSheetId="6" hidden="1">'03-Truss'!$M$34</definedName>
    <definedName name="solver_rhs19" localSheetId="4" hidden="1">'01-Truss'!$M$34</definedName>
    <definedName name="solver_rhs19" localSheetId="5" hidden="1">'02-Truss'!$D$7</definedName>
    <definedName name="solver_rhs19" localSheetId="6" hidden="1">'03-Truss'!$M$33</definedName>
    <definedName name="solver_rhs2" localSheetId="4" hidden="1">'01-Truss'!$E$10</definedName>
    <definedName name="solver_rhs2" localSheetId="5" hidden="1">0</definedName>
    <definedName name="solver_rhs2" localSheetId="6" hidden="1">'03-Truss'!$D$10</definedName>
    <definedName name="solver_rhs2" localSheetId="0" hidden="1">0</definedName>
    <definedName name="solver_rhs2" localSheetId="1" hidden="1">'h.w-2'!$B$5</definedName>
    <definedName name="solver_rhs2" localSheetId="3" hidden="1">'tir-soton'!$D$14</definedName>
    <definedName name="solver_rhs2" localSheetId="2" hidden="1">'Truss-Optimization-1'!$D$5</definedName>
    <definedName name="solver_rhs20" localSheetId="4" hidden="1">'01-Truss'!$M$41</definedName>
    <definedName name="solver_rhs20" localSheetId="5" hidden="1">'02-Truss'!$C$8</definedName>
    <definedName name="solver_rhs20" localSheetId="6" hidden="1">'03-Truss'!$M$32</definedName>
    <definedName name="solver_rhs21" localSheetId="4" hidden="1">'01-Truss'!$M$40</definedName>
    <definedName name="solver_rhs21" localSheetId="5" hidden="1">'02-Truss'!$D$8</definedName>
    <definedName name="solver_rhs21" localSheetId="6" hidden="1">'03-Truss'!$M$31</definedName>
    <definedName name="solver_rhs22" localSheetId="4" hidden="1">'01-Truss'!$M$39</definedName>
    <definedName name="solver_rhs22" localSheetId="5" hidden="1">'02-Truss'!$C$9</definedName>
    <definedName name="solver_rhs22" localSheetId="6" hidden="1">'03-Truss'!$M$30</definedName>
    <definedName name="solver_rhs23" localSheetId="4" hidden="1">'01-Truss'!$M$38</definedName>
    <definedName name="solver_rhs23" localSheetId="5" hidden="1">'02-Truss'!$D$9</definedName>
    <definedName name="solver_rhs23" localSheetId="6" hidden="1">'03-Truss'!$M$29</definedName>
    <definedName name="solver_rhs24" localSheetId="4" hidden="1">'01-Truss'!$M$37</definedName>
    <definedName name="solver_rhs24" localSheetId="5" hidden="1">'02-Truss'!$C$10</definedName>
    <definedName name="solver_rhs24" localSheetId="6" hidden="1">'03-Truss'!$M$28</definedName>
    <definedName name="solver_rhs25" localSheetId="4" hidden="1">'01-Truss'!$M$36</definedName>
    <definedName name="solver_rhs25" localSheetId="5" hidden="1">'02-Truss'!$D$10</definedName>
    <definedName name="solver_rhs25" localSheetId="6" hidden="1">'03-Truss'!$M$27</definedName>
    <definedName name="solver_rhs26" localSheetId="4" hidden="1">'01-Truss'!$M$35</definedName>
    <definedName name="solver_rhs26" localSheetId="5" hidden="1">'02-Truss'!$C$11</definedName>
    <definedName name="solver_rhs26" localSheetId="6" hidden="1">'03-Truss'!$M$26</definedName>
    <definedName name="solver_rhs27" localSheetId="4" hidden="1">'01-Truss'!$M$33</definedName>
    <definedName name="solver_rhs27" localSheetId="5" hidden="1">'02-Truss'!$D$11</definedName>
    <definedName name="solver_rhs27" localSheetId="6" hidden="1">'03-Truss'!$M$25</definedName>
    <definedName name="solver_rhs28" localSheetId="4" hidden="1">'01-Truss'!$M$42</definedName>
    <definedName name="solver_rhs28" localSheetId="5" hidden="1">'02-Truss'!$C$12</definedName>
    <definedName name="solver_rhs28" localSheetId="6" hidden="1">'03-Truss'!$D$18</definedName>
    <definedName name="solver_rhs29" localSheetId="4" hidden="1">'01-Truss'!$E$15</definedName>
    <definedName name="solver_rhs29" localSheetId="5" hidden="1">'02-Truss'!$D$12</definedName>
    <definedName name="solver_rhs29" localSheetId="6" hidden="1">'03-Truss'!$D$17</definedName>
    <definedName name="solver_rhs3" localSheetId="4" hidden="1">'01-Truss'!$E$12</definedName>
    <definedName name="solver_rhs3" localSheetId="5" hidden="1">0</definedName>
    <definedName name="solver_rhs3" localSheetId="6" hidden="1">'03-Truss'!$D$12</definedName>
    <definedName name="solver_rhs3" localSheetId="0" hidden="1">0</definedName>
    <definedName name="solver_rhs3" localSheetId="1" hidden="1">'h.w-2'!$B$8</definedName>
    <definedName name="solver_rhs3" localSheetId="3" hidden="1">'tir-soton'!$B$1</definedName>
    <definedName name="solver_rhs3" localSheetId="2" hidden="1">'Truss-Optimization-1'!$E$6</definedName>
    <definedName name="solver_rhs30" localSheetId="4" hidden="1">'01-Truss'!$D$10</definedName>
    <definedName name="solver_rhs30" localSheetId="5" hidden="1">'02-Truss'!$C$13</definedName>
    <definedName name="solver_rhs30" localSheetId="6" hidden="1">'03-Truss'!$C$18</definedName>
    <definedName name="solver_rhs31" localSheetId="4" hidden="1">'01-Truss'!$D$6</definedName>
    <definedName name="solver_rhs31" localSheetId="5" hidden="1">'02-Truss'!$D$13</definedName>
    <definedName name="solver_rhs31" localSheetId="6" hidden="1">'03-Truss'!$C$10</definedName>
    <definedName name="solver_rhs32" localSheetId="4" hidden="1">'01-Truss'!$D$9</definedName>
    <definedName name="solver_rhs32" localSheetId="5" hidden="1">'02-Truss'!$C$14</definedName>
    <definedName name="solver_rhs32" localSheetId="6" hidden="1">'03-Truss'!$D$5</definedName>
    <definedName name="solver_rhs33" localSheetId="4" hidden="1">'01-Truss'!$E$9</definedName>
    <definedName name="solver_rhs33" localSheetId="5" hidden="1">'02-Truss'!$D$14</definedName>
    <definedName name="solver_rhs33" localSheetId="6" hidden="1">'03-Truss'!$C$6</definedName>
    <definedName name="solver_rhs34" localSheetId="4" hidden="1">'01-Truss'!$E$8</definedName>
    <definedName name="solver_rhs34" localSheetId="5" hidden="1">'02-Truss'!$C$15</definedName>
    <definedName name="solver_rhs34" localSheetId="6" hidden="1">'03-Truss'!$D$6</definedName>
    <definedName name="solver_rhs35" localSheetId="4" hidden="1">'01-Truss'!$D$8</definedName>
    <definedName name="solver_rhs35" localSheetId="5" hidden="1">'02-Truss'!$D$15</definedName>
    <definedName name="solver_rhs35" localSheetId="6" hidden="1">'03-Truss'!$C$7</definedName>
    <definedName name="solver_rhs36" localSheetId="4" hidden="1">'01-Truss'!$E$7</definedName>
    <definedName name="solver_rhs36" localSheetId="5" hidden="1">'02-Truss'!$C$16</definedName>
    <definedName name="solver_rhs36" localSheetId="6" hidden="1">'03-Truss'!$D$8</definedName>
    <definedName name="solver_rhs37" localSheetId="4" hidden="1">'01-Truss'!$E$6</definedName>
    <definedName name="solver_rhs37" localSheetId="5" hidden="1">'02-Truss'!$D$16</definedName>
    <definedName name="solver_rhs37" localSheetId="6" hidden="1">'03-Truss'!$D$7</definedName>
    <definedName name="solver_rhs38" localSheetId="4" hidden="1">'01-Truss'!$D$7</definedName>
    <definedName name="solver_rhs38" localSheetId="5" hidden="1">'02-Truss'!$C$17</definedName>
    <definedName name="solver_rhs38" localSheetId="6" hidden="1">'03-Truss'!$C$8</definedName>
    <definedName name="solver_rhs39" localSheetId="4" hidden="1">0</definedName>
    <definedName name="solver_rhs39" localSheetId="5" hidden="1">'02-Truss'!$D$17</definedName>
    <definedName name="solver_rhs39" localSheetId="6" hidden="1">'03-Truss'!$C$9</definedName>
    <definedName name="solver_rhs4" localSheetId="4" hidden="1">'01-Truss'!$D$11</definedName>
    <definedName name="solver_rhs4" localSheetId="5" hidden="1">0</definedName>
    <definedName name="solver_rhs4" localSheetId="6" hidden="1">'03-Truss'!$C$11</definedName>
    <definedName name="solver_rhs4" localSheetId="0" hidden="1">'h.w-1'!$A$10</definedName>
    <definedName name="solver_rhs4" localSheetId="1" hidden="1">'h.w-2'!$B$7</definedName>
    <definedName name="solver_rhs4" localSheetId="3" hidden="1">'tir-soton'!$B$15</definedName>
    <definedName name="solver_rhs4" localSheetId="2" hidden="1">'Truss-Optimization-1'!$D$6</definedName>
    <definedName name="solver_rhs40" localSheetId="4" hidden="1">0</definedName>
    <definedName name="solver_rhs40" localSheetId="5" hidden="1">'02-Truss'!$C$18</definedName>
    <definedName name="solver_rhs40" localSheetId="6" hidden="1">'03-Truss'!$D$9</definedName>
    <definedName name="solver_rhs41" localSheetId="4" hidden="1">0</definedName>
    <definedName name="solver_rhs41" localSheetId="5" hidden="1">'02-Truss'!$D$18</definedName>
    <definedName name="solver_rhs41" localSheetId="6" hidden="1">'03-Truss'!$C$5</definedName>
    <definedName name="solver_rhs42" localSheetId="4" hidden="1">0</definedName>
    <definedName name="solver_rhs42" localSheetId="5" hidden="1">'02-Truss'!$M$25</definedName>
    <definedName name="solver_rhs42" localSheetId="6" hidden="1">0</definedName>
    <definedName name="solver_rhs43" localSheetId="4" hidden="1">0</definedName>
    <definedName name="solver_rhs43" localSheetId="5" hidden="1">'02-Truss'!$M$26</definedName>
    <definedName name="solver_rhs43" localSheetId="6" hidden="1">0</definedName>
    <definedName name="solver_rhs44" localSheetId="4" hidden="1">0</definedName>
    <definedName name="solver_rhs44" localSheetId="5" hidden="1">'02-Truss'!$M$27</definedName>
    <definedName name="solver_rhs44" localSheetId="6" hidden="1">0</definedName>
    <definedName name="solver_rhs45" localSheetId="4" hidden="1">0</definedName>
    <definedName name="solver_rhs45" localSheetId="5" hidden="1">'02-Truss'!$M$28</definedName>
    <definedName name="solver_rhs45" localSheetId="6" hidden="1">0</definedName>
    <definedName name="solver_rhs46" localSheetId="4" hidden="1">0</definedName>
    <definedName name="solver_rhs46" localSheetId="5" hidden="1">'02-Truss'!$M$29</definedName>
    <definedName name="solver_rhs46" localSheetId="6" hidden="1">0</definedName>
    <definedName name="solver_rhs47" localSheetId="5" hidden="1">'02-Truss'!$M$30</definedName>
    <definedName name="solver_rhs47" localSheetId="6" hidden="1">0</definedName>
    <definedName name="solver_rhs48" localSheetId="5" hidden="1">'02-Truss'!$M$31</definedName>
    <definedName name="solver_rhs48" localSheetId="6" hidden="1">0</definedName>
    <definedName name="solver_rhs49" localSheetId="5" hidden="1">'02-Truss'!$M$32</definedName>
    <definedName name="solver_rhs49" localSheetId="6" hidden="1">0</definedName>
    <definedName name="solver_rhs5" localSheetId="4" hidden="1">'01-Truss'!$D$12</definedName>
    <definedName name="solver_rhs5" localSheetId="5" hidden="1">0</definedName>
    <definedName name="solver_rhs5" localSheetId="6" hidden="1">'03-Truss'!$D$13</definedName>
    <definedName name="solver_rhs5" localSheetId="0" hidden="1">'h.w-1'!$B$11</definedName>
    <definedName name="solver_rhs5" localSheetId="1" hidden="1">'h.w-2'!$B$11</definedName>
    <definedName name="solver_rhs5" localSheetId="3" hidden="1">'tir-soton'!$B$15</definedName>
    <definedName name="solver_rhs5" localSheetId="2" hidden="1">'Truss-Optimization-1'!$E$7</definedName>
    <definedName name="solver_rhs50" localSheetId="5" hidden="1">'02-Truss'!$M$33</definedName>
    <definedName name="solver_rhs50" localSheetId="6" hidden="1">0</definedName>
    <definedName name="solver_rhs51" localSheetId="5" hidden="1">'02-Truss'!$M$34</definedName>
    <definedName name="solver_rhs51" localSheetId="6" hidden="1">0</definedName>
    <definedName name="solver_rhs52" localSheetId="5" hidden="1">'02-Truss'!$M$35</definedName>
    <definedName name="solver_rhs52" localSheetId="6" hidden="1">0</definedName>
    <definedName name="solver_rhs53" localSheetId="5" hidden="1">'02-Truss'!$M$36</definedName>
    <definedName name="solver_rhs53" localSheetId="6" hidden="1">0</definedName>
    <definedName name="solver_rhs54" localSheetId="5" hidden="1">'02-Truss'!$M$37</definedName>
    <definedName name="solver_rhs6" localSheetId="4" hidden="1">'01-Truss'!$D$13</definedName>
    <definedName name="solver_rhs6" localSheetId="5" hidden="1">0</definedName>
    <definedName name="solver_rhs6" localSheetId="6" hidden="1">'03-Truss'!$C$12</definedName>
    <definedName name="solver_rhs6" localSheetId="0" hidden="1">'h.w-1'!$B$14</definedName>
    <definedName name="solver_rhs6" localSheetId="1" hidden="1">'h.w-2'!$D$14</definedName>
    <definedName name="solver_rhs6" localSheetId="3" hidden="1">'tir-soton'!$D$5</definedName>
    <definedName name="solver_rhs6" localSheetId="2" hidden="1">'Truss-Optimization-1'!$D$7</definedName>
    <definedName name="solver_rhs7" localSheetId="4" hidden="1">'01-Truss'!$E$14</definedName>
    <definedName name="solver_rhs7" localSheetId="5" hidden="1">0</definedName>
    <definedName name="solver_rhs7" localSheetId="6" hidden="1">'03-Truss'!$C$13</definedName>
    <definedName name="solver_rhs7" localSheetId="0" hidden="1">'h.w-1'!$B$12</definedName>
    <definedName name="solver_rhs7" localSheetId="3" hidden="1">'tir-soton'!$B$6</definedName>
    <definedName name="solver_rhs7" localSheetId="2" hidden="1">'Truss-Optimization-1'!$M$22</definedName>
    <definedName name="solver_rhs8" localSheetId="4" hidden="1">'01-Truss'!$E$13</definedName>
    <definedName name="solver_rhs8" localSheetId="5" hidden="1">0</definedName>
    <definedName name="solver_rhs8" localSheetId="6" hidden="1">'03-Truss'!$C$14</definedName>
    <definedName name="solver_rhs8" localSheetId="0" hidden="1">0</definedName>
    <definedName name="solver_rhs8" localSheetId="3" hidden="1">'tir-soton'!$D$7</definedName>
    <definedName name="solver_rhs8" localSheetId="2" hidden="1">'Truss-Optimization-1'!$M$23</definedName>
    <definedName name="solver_rhs9" localSheetId="4" hidden="1">0</definedName>
    <definedName name="solver_rhs9" localSheetId="5" hidden="1">0</definedName>
    <definedName name="solver_rhs9" localSheetId="6" hidden="1">'03-Truss'!$D$14</definedName>
    <definedName name="solver_rhs9" localSheetId="0" hidden="1">'h.w-1'!$B$13</definedName>
    <definedName name="solver_rhs9" localSheetId="3" hidden="1">integer</definedName>
    <definedName name="solver_rhs9" localSheetId="2" hidden="1">'Truss-Optimization-1'!$M$21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0" hidden="1">2</definedName>
    <definedName name="solver_scl" localSheetId="1" hidden="1">2</definedName>
    <definedName name="solver_scl" localSheetId="3" hidden="1">2</definedName>
    <definedName name="solver_scl" localSheetId="2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tim" localSheetId="4" hidden="1">15000</definedName>
    <definedName name="solver_tim" localSheetId="5" hidden="1">10000</definedName>
    <definedName name="solver_tim" localSheetId="6" hidden="1">100</definedName>
    <definedName name="solver_tim" localSheetId="0" hidden="1">100</definedName>
    <definedName name="solver_tim" localSheetId="1" hidden="1">100</definedName>
    <definedName name="solver_tim" localSheetId="3" hidden="1">100</definedName>
    <definedName name="solver_tim" localSheetId="2" hidden="1">100</definedName>
    <definedName name="solver_tol" localSheetId="4" hidden="1">0.00000001</definedName>
    <definedName name="solver_tol" localSheetId="5" hidden="1">0.00000001</definedName>
    <definedName name="solver_tol" localSheetId="6" hidden="1">0.05</definedName>
    <definedName name="solver_tol" localSheetId="0" hidden="1">0.0000001</definedName>
    <definedName name="solver_tol" localSheetId="1" hidden="1">0.0000000001</definedName>
    <definedName name="solver_tol" localSheetId="3" hidden="1">0.00000001</definedName>
    <definedName name="solver_tol" localSheetId="2" hidden="1">0.05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0" hidden="1">2</definedName>
    <definedName name="solver_typ" localSheetId="1" hidden="1">2</definedName>
    <definedName name="solver_typ" localSheetId="3" hidden="1">1</definedName>
    <definedName name="solver_typ" localSheetId="2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4" hidden="1">3</definedName>
    <definedName name="solver_ver" localSheetId="6" hidden="1">3</definedName>
  </definedNames>
  <calcPr calcId="152511"/>
  <customWorkbookViews>
    <customWorkbookView name="Administrator - Personal View" guid="{5E047470-7D77-426D-B94B-7966AE8B6508}" mergeInterval="0" personalView="1" maximized="1" xWindow="1" yWindow="1" windowWidth="1024" windowHeight="547" activeSheetId="2"/>
  </customWorkbookViews>
</workbook>
</file>

<file path=xl/calcChain.xml><?xml version="1.0" encoding="utf-8"?>
<calcChain xmlns="http://schemas.openxmlformats.org/spreadsheetml/2006/main">
  <c r="O37" i="9" l="1"/>
  <c r="N37" i="9"/>
  <c r="O36" i="9"/>
  <c r="N36" i="9"/>
  <c r="O35" i="9"/>
  <c r="N35" i="9"/>
  <c r="O34" i="9"/>
  <c r="N34" i="9"/>
  <c r="O33" i="9"/>
  <c r="N33" i="9"/>
  <c r="O32" i="9"/>
  <c r="N32" i="9"/>
  <c r="O31" i="9"/>
  <c r="N31" i="9"/>
  <c r="O30" i="9"/>
  <c r="N30" i="9"/>
  <c r="O29" i="9"/>
  <c r="N29" i="9"/>
  <c r="O28" i="9"/>
  <c r="N28" i="9"/>
  <c r="O27" i="9"/>
  <c r="N27" i="9"/>
  <c r="O26" i="9"/>
  <c r="N26" i="9"/>
  <c r="O25" i="9"/>
  <c r="N25" i="9"/>
  <c r="C25" i="9" l="1"/>
  <c r="C25" i="11"/>
  <c r="C30" i="11" s="1"/>
  <c r="C2" i="7"/>
  <c r="G137" i="11"/>
  <c r="V27" i="11" s="1"/>
  <c r="G138" i="11"/>
  <c r="W27" i="11" s="1"/>
  <c r="G139" i="11"/>
  <c r="G140" i="11"/>
  <c r="AX9" i="11" s="1"/>
  <c r="G141" i="11"/>
  <c r="G142" i="11"/>
  <c r="V30" i="11" s="1"/>
  <c r="G143" i="11"/>
  <c r="G144" i="11"/>
  <c r="V31" i="11" s="1"/>
  <c r="G145" i="11"/>
  <c r="W31" i="11" s="1"/>
  <c r="G146" i="11"/>
  <c r="V32" i="11" s="1"/>
  <c r="G135" i="11"/>
  <c r="V26" i="11" s="1"/>
  <c r="BB4" i="11"/>
  <c r="AR116" i="11"/>
  <c r="AR115" i="11"/>
  <c r="AU111" i="11" s="1"/>
  <c r="AR114" i="11"/>
  <c r="AT111" i="11" s="1"/>
  <c r="AR113" i="11"/>
  <c r="AS111" i="11" s="1"/>
  <c r="AV111" i="11"/>
  <c r="AR110" i="11"/>
  <c r="AR109" i="11"/>
  <c r="AU105" i="11" s="1"/>
  <c r="AR108" i="11"/>
  <c r="AT105" i="11" s="1"/>
  <c r="AR107" i="11"/>
  <c r="AV105" i="11"/>
  <c r="AS105" i="11"/>
  <c r="AR104" i="11"/>
  <c r="AR103" i="11"/>
  <c r="AR102" i="11"/>
  <c r="AR101" i="11"/>
  <c r="AV99" i="11"/>
  <c r="AU99" i="11"/>
  <c r="AT99" i="11"/>
  <c r="AS99" i="11"/>
  <c r="AR98" i="11"/>
  <c r="AR97" i="11"/>
  <c r="AR96" i="11"/>
  <c r="AR95" i="11"/>
  <c r="AV93" i="11"/>
  <c r="AU93" i="11"/>
  <c r="AT93" i="11"/>
  <c r="AS93" i="11"/>
  <c r="AR92" i="11"/>
  <c r="AR91" i="11"/>
  <c r="AU87" i="11" s="1"/>
  <c r="AR90" i="11"/>
  <c r="AT87" i="11" s="1"/>
  <c r="AR89" i="11"/>
  <c r="AS87" i="11" s="1"/>
  <c r="AV87" i="11"/>
  <c r="AR86" i="11"/>
  <c r="AR85" i="11"/>
  <c r="AR84" i="11"/>
  <c r="AR83" i="11"/>
  <c r="AV81" i="11"/>
  <c r="AU81" i="11"/>
  <c r="AT81" i="11"/>
  <c r="AS81" i="11"/>
  <c r="AR80" i="11"/>
  <c r="AR79" i="11"/>
  <c r="AR78" i="11"/>
  <c r="AR77" i="11"/>
  <c r="AV75" i="11"/>
  <c r="AU75" i="11"/>
  <c r="AT75" i="11"/>
  <c r="AS75" i="11"/>
  <c r="AR74" i="11"/>
  <c r="AR73" i="11"/>
  <c r="AU69" i="11" s="1"/>
  <c r="AR72" i="11"/>
  <c r="AT69" i="11" s="1"/>
  <c r="AR71" i="11"/>
  <c r="AV69" i="11"/>
  <c r="AS69" i="11"/>
  <c r="AR68" i="11"/>
  <c r="AR67" i="11"/>
  <c r="AR66" i="11"/>
  <c r="AR65" i="11"/>
  <c r="AV63" i="11"/>
  <c r="AU63" i="11"/>
  <c r="AT63" i="11"/>
  <c r="AS63" i="11"/>
  <c r="AR62" i="11"/>
  <c r="AR61" i="11"/>
  <c r="AR60" i="11"/>
  <c r="AR59" i="11"/>
  <c r="AV57" i="11"/>
  <c r="AU57" i="11"/>
  <c r="AT57" i="11"/>
  <c r="AS57" i="11"/>
  <c r="AR56" i="11"/>
  <c r="AR55" i="11"/>
  <c r="AR54" i="11"/>
  <c r="AR53" i="11"/>
  <c r="AV51" i="11"/>
  <c r="AU51" i="11"/>
  <c r="AT51" i="11"/>
  <c r="AS51" i="11"/>
  <c r="AR50" i="11"/>
  <c r="AR49" i="11"/>
  <c r="AU45" i="11" s="1"/>
  <c r="AR48" i="11"/>
  <c r="AT45" i="11" s="1"/>
  <c r="AR47" i="11"/>
  <c r="AS45" i="11" s="1"/>
  <c r="AV45" i="11"/>
  <c r="AR44" i="11"/>
  <c r="AR43" i="11"/>
  <c r="AR42" i="11"/>
  <c r="AR41" i="11"/>
  <c r="AV39" i="11"/>
  <c r="AU39" i="11"/>
  <c r="AT39" i="11"/>
  <c r="AS39" i="11"/>
  <c r="G136" i="11"/>
  <c r="AV13" i="11" s="1"/>
  <c r="U133" i="11"/>
  <c r="U132" i="11"/>
  <c r="U131" i="11"/>
  <c r="U130" i="11"/>
  <c r="U129" i="11"/>
  <c r="U128" i="11"/>
  <c r="U127" i="11"/>
  <c r="U126" i="11"/>
  <c r="U125" i="11"/>
  <c r="U124" i="11"/>
  <c r="U123" i="11"/>
  <c r="U122" i="11"/>
  <c r="M114" i="11"/>
  <c r="M113" i="11"/>
  <c r="M110" i="11"/>
  <c r="M109" i="11"/>
  <c r="M108" i="11"/>
  <c r="M107" i="11"/>
  <c r="M104" i="11"/>
  <c r="M103" i="11"/>
  <c r="M102" i="11"/>
  <c r="M101" i="11"/>
  <c r="M98" i="11"/>
  <c r="M97" i="11"/>
  <c r="M92" i="11"/>
  <c r="M91" i="11"/>
  <c r="M90" i="11"/>
  <c r="M89" i="11"/>
  <c r="M86" i="11"/>
  <c r="M85" i="11"/>
  <c r="M84" i="11"/>
  <c r="M83" i="11"/>
  <c r="M80" i="11"/>
  <c r="M79" i="11"/>
  <c r="M78" i="11"/>
  <c r="M77" i="11"/>
  <c r="M74" i="11"/>
  <c r="M73" i="11"/>
  <c r="M72" i="11"/>
  <c r="M71" i="11"/>
  <c r="M68" i="11"/>
  <c r="M67" i="11"/>
  <c r="M66" i="11"/>
  <c r="M65" i="11"/>
  <c r="M60" i="11"/>
  <c r="M59" i="11"/>
  <c r="M56" i="11"/>
  <c r="M55" i="11"/>
  <c r="M54" i="11"/>
  <c r="M53" i="11"/>
  <c r="M50" i="11"/>
  <c r="M49" i="11"/>
  <c r="M48" i="11"/>
  <c r="M47" i="11"/>
  <c r="M44" i="11"/>
  <c r="M43" i="11"/>
  <c r="H36" i="11"/>
  <c r="H35" i="11"/>
  <c r="H34" i="11"/>
  <c r="H33" i="11"/>
  <c r="W32" i="11"/>
  <c r="H32" i="11"/>
  <c r="H31" i="11"/>
  <c r="C31" i="11"/>
  <c r="E37" i="11" s="1"/>
  <c r="W30" i="11"/>
  <c r="H30" i="11"/>
  <c r="E30" i="11"/>
  <c r="AV3" i="11" s="1"/>
  <c r="V29" i="11"/>
  <c r="H29" i="11"/>
  <c r="E29" i="11"/>
  <c r="S30" i="11" s="1"/>
  <c r="V28" i="11"/>
  <c r="H28" i="11"/>
  <c r="H27" i="11"/>
  <c r="W26" i="11"/>
  <c r="H26" i="11"/>
  <c r="H25" i="11"/>
  <c r="F25" i="11"/>
  <c r="B40" i="11" s="1"/>
  <c r="O22" i="11"/>
  <c r="M37" i="11" s="1"/>
  <c r="AV15" i="11"/>
  <c r="AT14" i="11"/>
  <c r="AT15" i="11" s="1"/>
  <c r="AT12" i="11"/>
  <c r="AT13" i="11" s="1"/>
  <c r="O22" i="9"/>
  <c r="M37" i="9" s="1"/>
  <c r="M115" i="9"/>
  <c r="M114" i="9"/>
  <c r="M113" i="9"/>
  <c r="M110" i="9"/>
  <c r="M109" i="9"/>
  <c r="M108" i="9"/>
  <c r="M107" i="9"/>
  <c r="M104" i="9"/>
  <c r="M103" i="9"/>
  <c r="M102" i="9"/>
  <c r="M101" i="9"/>
  <c r="M98" i="9"/>
  <c r="M97" i="9"/>
  <c r="M92" i="9"/>
  <c r="M91" i="9"/>
  <c r="M90" i="9"/>
  <c r="M89" i="9"/>
  <c r="M86" i="9"/>
  <c r="M85" i="9"/>
  <c r="M84" i="9"/>
  <c r="M83" i="9"/>
  <c r="M80" i="9"/>
  <c r="M79" i="9"/>
  <c r="M78" i="9"/>
  <c r="M77" i="9"/>
  <c r="M74" i="9"/>
  <c r="M73" i="9"/>
  <c r="M72" i="9"/>
  <c r="M71" i="9"/>
  <c r="M68" i="9"/>
  <c r="M67" i="9"/>
  <c r="M66" i="9"/>
  <c r="M65" i="9"/>
  <c r="M61" i="9"/>
  <c r="M60" i="9"/>
  <c r="M59" i="9"/>
  <c r="M56" i="9"/>
  <c r="M55" i="9"/>
  <c r="M54" i="9"/>
  <c r="M53" i="9"/>
  <c r="M50" i="9"/>
  <c r="M49" i="9"/>
  <c r="M48" i="9"/>
  <c r="M47" i="9"/>
  <c r="M44" i="9"/>
  <c r="M43" i="9"/>
  <c r="G137" i="9"/>
  <c r="G138" i="9"/>
  <c r="AT12" i="9" s="1"/>
  <c r="G139" i="9"/>
  <c r="G140" i="9"/>
  <c r="AT14" i="9" s="1"/>
  <c r="G141" i="9"/>
  <c r="G142" i="9"/>
  <c r="G143" i="9"/>
  <c r="G144" i="9"/>
  <c r="G145" i="9"/>
  <c r="G146" i="9"/>
  <c r="G147" i="9"/>
  <c r="G136" i="9"/>
  <c r="AT11" i="9" s="1"/>
  <c r="G135" i="9"/>
  <c r="H27" i="9"/>
  <c r="H28" i="9"/>
  <c r="H29" i="9"/>
  <c r="H30" i="9"/>
  <c r="H31" i="9"/>
  <c r="E76" i="9" s="1"/>
  <c r="H32" i="9"/>
  <c r="H33" i="9"/>
  <c r="H34" i="9"/>
  <c r="H35" i="9"/>
  <c r="H36" i="9"/>
  <c r="H26" i="9"/>
  <c r="H25" i="9"/>
  <c r="C31" i="9"/>
  <c r="C34" i="9" s="1"/>
  <c r="E94" i="9" s="1"/>
  <c r="U133" i="9"/>
  <c r="U132" i="9"/>
  <c r="U131" i="9"/>
  <c r="U130" i="9"/>
  <c r="U129" i="9"/>
  <c r="U128" i="9"/>
  <c r="U127" i="9"/>
  <c r="U126" i="9"/>
  <c r="U125" i="9"/>
  <c r="U123" i="9"/>
  <c r="U122" i="9"/>
  <c r="U121" i="9"/>
  <c r="U124" i="9"/>
  <c r="E40" i="9"/>
  <c r="D40" i="9"/>
  <c r="B44" i="9" s="1"/>
  <c r="C122" i="9" s="1"/>
  <c r="G31" i="9"/>
  <c r="D76" i="9" s="1"/>
  <c r="C30" i="9"/>
  <c r="C29" i="9"/>
  <c r="E64" i="9" s="1"/>
  <c r="C28" i="9"/>
  <c r="E58" i="9" s="1"/>
  <c r="C27" i="9"/>
  <c r="C26" i="9"/>
  <c r="F25" i="9"/>
  <c r="B40" i="9" s="1"/>
  <c r="G29" i="9" l="1"/>
  <c r="AV2" i="9" s="1"/>
  <c r="AV10" i="9" s="1"/>
  <c r="C33" i="9"/>
  <c r="E88" i="9" s="1"/>
  <c r="E52" i="9"/>
  <c r="E70" i="9"/>
  <c r="G34" i="9"/>
  <c r="AX4" i="9" s="1"/>
  <c r="G29" i="11"/>
  <c r="AV2" i="11" s="1"/>
  <c r="AV10" i="11" s="1"/>
  <c r="AV11" i="11" s="1"/>
  <c r="G30" i="11"/>
  <c r="AV4" i="11" s="1"/>
  <c r="AV12" i="11" s="1"/>
  <c r="E30" i="9"/>
  <c r="AV3" i="9" s="1"/>
  <c r="G36" i="9"/>
  <c r="AX8" i="9" s="1"/>
  <c r="AX16" i="9" s="1"/>
  <c r="AT10" i="11"/>
  <c r="E29" i="9"/>
  <c r="S30" i="9" s="1"/>
  <c r="G30" i="9"/>
  <c r="AV4" i="9" s="1"/>
  <c r="AV12" i="9" s="1"/>
  <c r="C32" i="9"/>
  <c r="E82" i="9" s="1"/>
  <c r="G33" i="9"/>
  <c r="AX2" i="9" s="1"/>
  <c r="AX10" i="9" s="1"/>
  <c r="E35" i="9"/>
  <c r="AX5" i="9" s="1"/>
  <c r="AX12" i="9" s="1"/>
  <c r="E37" i="9"/>
  <c r="AZ1" i="9" s="1"/>
  <c r="AV1" i="11"/>
  <c r="AV9" i="11" s="1"/>
  <c r="AT11" i="11"/>
  <c r="AX14" i="11"/>
  <c r="AX15" i="11" s="1"/>
  <c r="D40" i="11"/>
  <c r="E46" i="9"/>
  <c r="E40" i="11"/>
  <c r="W28" i="11"/>
  <c r="C26" i="11"/>
  <c r="D46" i="11" s="1"/>
  <c r="C27" i="11"/>
  <c r="D52" i="11" s="1"/>
  <c r="D54" i="11" s="1"/>
  <c r="C28" i="11"/>
  <c r="D58" i="11" s="1"/>
  <c r="C29" i="11"/>
  <c r="AS41" i="11"/>
  <c r="AV42" i="11"/>
  <c r="AV43" i="11"/>
  <c r="AV44" i="11"/>
  <c r="E46" i="11"/>
  <c r="B50" i="11" s="1"/>
  <c r="E52" i="11"/>
  <c r="I54" i="11" s="1"/>
  <c r="E58" i="11"/>
  <c r="B62" i="11" s="1"/>
  <c r="E70" i="11"/>
  <c r="E76" i="11"/>
  <c r="AT41" i="11"/>
  <c r="AU41" i="11"/>
  <c r="AV41" i="11"/>
  <c r="AS42" i="11"/>
  <c r="AT42" i="11"/>
  <c r="AU42" i="11"/>
  <c r="AS43" i="11"/>
  <c r="AT43" i="11"/>
  <c r="AU43" i="11"/>
  <c r="AS44" i="11"/>
  <c r="AT44" i="11"/>
  <c r="AU44" i="11"/>
  <c r="AV47" i="11"/>
  <c r="AV48" i="11"/>
  <c r="AV49" i="11"/>
  <c r="AV50" i="11"/>
  <c r="AV53" i="11"/>
  <c r="AV54" i="11"/>
  <c r="AV55" i="11"/>
  <c r="AV56" i="11"/>
  <c r="AV59" i="11"/>
  <c r="AV60" i="11"/>
  <c r="AV61" i="11"/>
  <c r="AV62" i="11"/>
  <c r="AV65" i="11"/>
  <c r="AV66" i="11"/>
  <c r="AV67" i="11"/>
  <c r="AV68" i="11"/>
  <c r="AV71" i="11"/>
  <c r="AV72" i="11"/>
  <c r="AV73" i="11"/>
  <c r="AV74" i="11"/>
  <c r="AV77" i="11"/>
  <c r="AV78" i="11"/>
  <c r="AV79" i="11"/>
  <c r="AV80" i="11"/>
  <c r="AV83" i="11"/>
  <c r="AV84" i="11"/>
  <c r="AV85" i="11"/>
  <c r="AV86" i="11"/>
  <c r="AV89" i="11"/>
  <c r="AV90" i="11"/>
  <c r="AV91" i="11"/>
  <c r="AV92" i="11"/>
  <c r="AV95" i="11"/>
  <c r="AV96" i="11"/>
  <c r="AV97" i="11"/>
  <c r="AV98" i="11"/>
  <c r="AV101" i="11"/>
  <c r="AV102" i="11"/>
  <c r="AV103" i="11"/>
  <c r="AV104" i="11"/>
  <c r="AV107" i="11"/>
  <c r="AV108" i="11"/>
  <c r="AV109" i="11"/>
  <c r="AV110" i="11"/>
  <c r="AV113" i="11"/>
  <c r="AV114" i="11"/>
  <c r="AV115" i="11"/>
  <c r="AV116" i="11"/>
  <c r="AS113" i="11"/>
  <c r="AT113" i="11"/>
  <c r="AU113" i="11"/>
  <c r="AS114" i="11"/>
  <c r="AT114" i="11"/>
  <c r="AU114" i="11"/>
  <c r="AS115" i="11"/>
  <c r="AT115" i="11"/>
  <c r="AU115" i="11"/>
  <c r="AS116" i="11"/>
  <c r="AT116" i="11"/>
  <c r="AU116" i="11"/>
  <c r="AS107" i="11"/>
  <c r="AT107" i="11"/>
  <c r="AU107" i="11"/>
  <c r="AS108" i="11"/>
  <c r="AT108" i="11"/>
  <c r="AU108" i="11"/>
  <c r="AS109" i="11"/>
  <c r="AT109" i="11"/>
  <c r="AU109" i="11"/>
  <c r="AS110" i="11"/>
  <c r="AT110" i="11"/>
  <c r="AU110" i="11"/>
  <c r="AS101" i="11"/>
  <c r="AT101" i="11"/>
  <c r="AU101" i="11"/>
  <c r="AS102" i="11"/>
  <c r="AT102" i="11"/>
  <c r="AU102" i="11"/>
  <c r="AS103" i="11"/>
  <c r="AT103" i="11"/>
  <c r="AU103" i="11"/>
  <c r="AS104" i="11"/>
  <c r="AT104" i="11"/>
  <c r="AU104" i="11"/>
  <c r="AS95" i="11"/>
  <c r="AT95" i="11"/>
  <c r="AU95" i="11"/>
  <c r="AS96" i="11"/>
  <c r="AT96" i="11"/>
  <c r="AU96" i="11"/>
  <c r="AS97" i="11"/>
  <c r="AT97" i="11"/>
  <c r="AU97" i="11"/>
  <c r="AS98" i="11"/>
  <c r="AT98" i="11"/>
  <c r="AU98" i="11"/>
  <c r="AS89" i="11"/>
  <c r="AT89" i="11"/>
  <c r="AU89" i="11"/>
  <c r="AS90" i="11"/>
  <c r="AT90" i="11"/>
  <c r="AU90" i="11"/>
  <c r="AS91" i="11"/>
  <c r="AT91" i="11"/>
  <c r="AU91" i="11"/>
  <c r="AS92" i="11"/>
  <c r="AT92" i="11"/>
  <c r="AU92" i="11"/>
  <c r="AS83" i="11"/>
  <c r="AT83" i="11"/>
  <c r="AU83" i="11"/>
  <c r="AS84" i="11"/>
  <c r="AT84" i="11"/>
  <c r="AU84" i="11"/>
  <c r="AS85" i="11"/>
  <c r="AT85" i="11"/>
  <c r="AU85" i="11"/>
  <c r="AS86" i="11"/>
  <c r="AT86" i="11"/>
  <c r="AU86" i="11"/>
  <c r="AS77" i="11"/>
  <c r="AT77" i="11"/>
  <c r="AU77" i="11"/>
  <c r="AS78" i="11"/>
  <c r="AT78" i="11"/>
  <c r="AU78" i="11"/>
  <c r="AS79" i="11"/>
  <c r="AT79" i="11"/>
  <c r="AU79" i="11"/>
  <c r="AS80" i="11"/>
  <c r="AT80" i="11"/>
  <c r="AU80" i="11"/>
  <c r="AS71" i="11"/>
  <c r="AT71" i="11"/>
  <c r="AU71" i="11"/>
  <c r="AS72" i="11"/>
  <c r="AT72" i="11"/>
  <c r="AU72" i="11"/>
  <c r="AS73" i="11"/>
  <c r="AT73" i="11"/>
  <c r="AU73" i="11"/>
  <c r="AS74" i="11"/>
  <c r="AT74" i="11"/>
  <c r="AU74" i="11"/>
  <c r="AS65" i="11"/>
  <c r="AT65" i="11"/>
  <c r="AU65" i="11"/>
  <c r="AS66" i="11"/>
  <c r="AT66" i="11"/>
  <c r="AU66" i="11"/>
  <c r="AS67" i="11"/>
  <c r="AT67" i="11"/>
  <c r="AU67" i="11"/>
  <c r="AS68" i="11"/>
  <c r="AT68" i="11"/>
  <c r="AU68" i="11"/>
  <c r="AS59" i="11"/>
  <c r="AT59" i="11"/>
  <c r="AU59" i="11"/>
  <c r="AS60" i="11"/>
  <c r="AT60" i="11"/>
  <c r="AU60" i="11"/>
  <c r="AS61" i="11"/>
  <c r="AT61" i="11"/>
  <c r="AU61" i="11"/>
  <c r="AS62" i="11"/>
  <c r="AT62" i="11"/>
  <c r="AU62" i="11"/>
  <c r="AS53" i="11"/>
  <c r="AT53" i="11"/>
  <c r="AU53" i="11"/>
  <c r="AS54" i="11"/>
  <c r="AT54" i="11"/>
  <c r="AU54" i="11"/>
  <c r="AS55" i="11"/>
  <c r="AT55" i="11"/>
  <c r="AU55" i="11"/>
  <c r="AS56" i="11"/>
  <c r="AT56" i="11"/>
  <c r="AU56" i="11"/>
  <c r="AS47" i="11"/>
  <c r="AT47" i="11"/>
  <c r="AU47" i="11"/>
  <c r="AS48" i="11"/>
  <c r="AT48" i="11"/>
  <c r="AU48" i="11"/>
  <c r="AS49" i="11"/>
  <c r="AT49" i="11"/>
  <c r="AU49" i="11"/>
  <c r="AS50" i="11"/>
  <c r="AT50" i="11"/>
  <c r="AU50" i="11"/>
  <c r="C44" i="11"/>
  <c r="D43" i="11"/>
  <c r="A43" i="11"/>
  <c r="H42" i="11"/>
  <c r="D41" i="11"/>
  <c r="C43" i="11"/>
  <c r="A42" i="11"/>
  <c r="A41" i="11"/>
  <c r="I48" i="11"/>
  <c r="B48" i="11"/>
  <c r="K54" i="11"/>
  <c r="D60" i="11"/>
  <c r="AZ1" i="11"/>
  <c r="M24" i="11"/>
  <c r="M25" i="11"/>
  <c r="D26" i="11"/>
  <c r="M26" i="11"/>
  <c r="M27" i="11"/>
  <c r="M28" i="11"/>
  <c r="M29" i="11"/>
  <c r="M30" i="11"/>
  <c r="G31" i="11"/>
  <c r="M31" i="11"/>
  <c r="C32" i="11"/>
  <c r="M32" i="11"/>
  <c r="S32" i="11"/>
  <c r="C33" i="11"/>
  <c r="E88" i="11" s="1"/>
  <c r="G33" i="11"/>
  <c r="M33" i="11"/>
  <c r="C34" i="11"/>
  <c r="E94" i="11" s="1"/>
  <c r="G34" i="11"/>
  <c r="M34" i="11"/>
  <c r="E35" i="11"/>
  <c r="M35" i="11"/>
  <c r="G36" i="11"/>
  <c r="M36" i="11"/>
  <c r="D42" i="11"/>
  <c r="K42" i="11"/>
  <c r="AV13" i="9"/>
  <c r="AV15" i="9"/>
  <c r="AX9" i="9"/>
  <c r="AX14" i="9"/>
  <c r="AT10" i="9"/>
  <c r="AV6" i="9"/>
  <c r="AV14" i="9" s="1"/>
  <c r="D88" i="9"/>
  <c r="D92" i="9" s="1"/>
  <c r="D70" i="9"/>
  <c r="D74" i="9" s="1"/>
  <c r="D94" i="9"/>
  <c r="B98" i="9" s="1"/>
  <c r="C129" i="9" s="1"/>
  <c r="D44" i="9"/>
  <c r="C44" i="9"/>
  <c r="A44" i="9"/>
  <c r="B122" i="9" s="1"/>
  <c r="D43" i="9"/>
  <c r="B43" i="9"/>
  <c r="C121" i="9" s="1"/>
  <c r="A43" i="9"/>
  <c r="B121" i="9" s="1"/>
  <c r="J42" i="9"/>
  <c r="H42" i="9"/>
  <c r="C42" i="9"/>
  <c r="E119" i="9" s="1"/>
  <c r="D41" i="9"/>
  <c r="F118" i="9" s="1"/>
  <c r="B72" i="9"/>
  <c r="K72" i="9"/>
  <c r="D72" i="9"/>
  <c r="Q131" i="9" s="1"/>
  <c r="B80" i="9"/>
  <c r="F129" i="9" s="1"/>
  <c r="K78" i="9"/>
  <c r="I78" i="9"/>
  <c r="D78" i="9"/>
  <c r="M122" i="9" s="1"/>
  <c r="B92" i="9"/>
  <c r="J133" i="9" s="1"/>
  <c r="B96" i="9"/>
  <c r="I96" i="9"/>
  <c r="D80" i="9"/>
  <c r="M24" i="9"/>
  <c r="M25" i="9"/>
  <c r="D26" i="9"/>
  <c r="M26" i="9"/>
  <c r="M27" i="9"/>
  <c r="M28" i="9"/>
  <c r="M29" i="9"/>
  <c r="M30" i="9"/>
  <c r="M31" i="9"/>
  <c r="G32" i="9"/>
  <c r="AV8" i="9" s="1"/>
  <c r="AV16" i="9" s="1"/>
  <c r="M32" i="9"/>
  <c r="S32" i="9"/>
  <c r="M33" i="9"/>
  <c r="M34" i="9"/>
  <c r="C35" i="9"/>
  <c r="E100" i="9" s="1"/>
  <c r="M35" i="9"/>
  <c r="C36" i="9"/>
  <c r="E106" i="9" s="1"/>
  <c r="M36" i="9"/>
  <c r="A41" i="9"/>
  <c r="B41" i="9"/>
  <c r="A42" i="9"/>
  <c r="B42" i="9"/>
  <c r="D42" i="9"/>
  <c r="F119" i="9" s="1"/>
  <c r="I42" i="9"/>
  <c r="K42" i="9"/>
  <c r="C43" i="9"/>
  <c r="D46" i="9"/>
  <c r="D52" i="9"/>
  <c r="D58" i="9"/>
  <c r="B78" i="9"/>
  <c r="D96" i="9" l="1"/>
  <c r="M119" i="9" s="1"/>
  <c r="D98" i="9"/>
  <c r="B54" i="11"/>
  <c r="B56" i="11"/>
  <c r="K48" i="11"/>
  <c r="D56" i="11"/>
  <c r="D70" i="11"/>
  <c r="D74" i="11" s="1"/>
  <c r="D64" i="11"/>
  <c r="K96" i="9"/>
  <c r="A44" i="11"/>
  <c r="D106" i="9"/>
  <c r="K90" i="9"/>
  <c r="B90" i="9"/>
  <c r="I72" i="9"/>
  <c r="B74" i="9"/>
  <c r="O133" i="9" s="1"/>
  <c r="D64" i="9"/>
  <c r="AV1" i="9"/>
  <c r="AV9" i="9" s="1"/>
  <c r="I42" i="11"/>
  <c r="B44" i="11"/>
  <c r="D72" i="11"/>
  <c r="D48" i="11"/>
  <c r="B41" i="11"/>
  <c r="B42" i="11"/>
  <c r="D44" i="11"/>
  <c r="C42" i="11"/>
  <c r="J42" i="11"/>
  <c r="B43" i="11"/>
  <c r="B74" i="11"/>
  <c r="B68" i="9"/>
  <c r="M131" i="9" s="1"/>
  <c r="I72" i="11"/>
  <c r="I60" i="11"/>
  <c r="B66" i="9"/>
  <c r="B72" i="11"/>
  <c r="K72" i="11"/>
  <c r="B60" i="11"/>
  <c r="K60" i="11"/>
  <c r="E64" i="11"/>
  <c r="B68" i="11" s="1"/>
  <c r="E128" i="11"/>
  <c r="D128" i="11"/>
  <c r="D90" i="9"/>
  <c r="Q126" i="9" s="1"/>
  <c r="D66" i="9"/>
  <c r="O129" i="9" s="1"/>
  <c r="C119" i="9"/>
  <c r="D100" i="9"/>
  <c r="I90" i="9"/>
  <c r="I66" i="9"/>
  <c r="D62" i="11"/>
  <c r="D50" i="11"/>
  <c r="D118" i="11"/>
  <c r="E118" i="11"/>
  <c r="G118" i="11"/>
  <c r="H118" i="11"/>
  <c r="I118" i="11"/>
  <c r="J118" i="11"/>
  <c r="K118" i="11"/>
  <c r="N118" i="11"/>
  <c r="O118" i="11"/>
  <c r="P118" i="11"/>
  <c r="Q118" i="11"/>
  <c r="D119" i="11"/>
  <c r="E119" i="11"/>
  <c r="F119" i="11"/>
  <c r="G119" i="11"/>
  <c r="H119" i="11"/>
  <c r="I119" i="11"/>
  <c r="J119" i="11"/>
  <c r="K119" i="11"/>
  <c r="N119" i="11"/>
  <c r="O119" i="11"/>
  <c r="P119" i="11"/>
  <c r="Q119" i="11"/>
  <c r="C120" i="11"/>
  <c r="F120" i="11"/>
  <c r="G120" i="11"/>
  <c r="H120" i="11"/>
  <c r="I120" i="11"/>
  <c r="L120" i="11"/>
  <c r="M120" i="11"/>
  <c r="N120" i="11"/>
  <c r="O120" i="11"/>
  <c r="C121" i="11"/>
  <c r="F121" i="11"/>
  <c r="G121" i="11"/>
  <c r="H121" i="11"/>
  <c r="I121" i="11"/>
  <c r="K121" i="11"/>
  <c r="L121" i="11"/>
  <c r="M121" i="11"/>
  <c r="N121" i="11"/>
  <c r="O121" i="11"/>
  <c r="C122" i="11"/>
  <c r="D122" i="11"/>
  <c r="E122" i="11"/>
  <c r="C123" i="11"/>
  <c r="D123" i="11"/>
  <c r="E123" i="11"/>
  <c r="C124" i="11"/>
  <c r="D124" i="11"/>
  <c r="E124" i="11"/>
  <c r="C125" i="11"/>
  <c r="D125" i="11"/>
  <c r="E125" i="11"/>
  <c r="C126" i="11"/>
  <c r="C127" i="11"/>
  <c r="E127" i="11"/>
  <c r="D129" i="11"/>
  <c r="E129" i="11"/>
  <c r="C130" i="11"/>
  <c r="D130" i="11"/>
  <c r="E130" i="11"/>
  <c r="C131" i="11"/>
  <c r="D131" i="11"/>
  <c r="E131" i="11"/>
  <c r="C132" i="11"/>
  <c r="C133" i="11"/>
  <c r="B133" i="11"/>
  <c r="B132" i="11"/>
  <c r="B131" i="11"/>
  <c r="B130" i="11"/>
  <c r="B127" i="11"/>
  <c r="B126" i="11"/>
  <c r="B125" i="11"/>
  <c r="B124" i="11"/>
  <c r="B123" i="11"/>
  <c r="B122" i="11"/>
  <c r="B121" i="11"/>
  <c r="B120" i="11"/>
  <c r="AX8" i="11"/>
  <c r="AX16" i="11" s="1"/>
  <c r="AZ9" i="11" s="1"/>
  <c r="AX5" i="11"/>
  <c r="AX12" i="11" s="1"/>
  <c r="AX13" i="11" s="1"/>
  <c r="D94" i="11"/>
  <c r="AX4" i="11"/>
  <c r="C36" i="11"/>
  <c r="C35" i="11"/>
  <c r="E100" i="11" s="1"/>
  <c r="D88" i="11"/>
  <c r="AX2" i="11"/>
  <c r="AX10" i="11" s="1"/>
  <c r="D76" i="11"/>
  <c r="G32" i="11"/>
  <c r="AV6" i="11"/>
  <c r="AV14" i="11" s="1"/>
  <c r="F34" i="11"/>
  <c r="D31" i="11"/>
  <c r="D29" i="11"/>
  <c r="F28" i="11"/>
  <c r="F27" i="11"/>
  <c r="R26" i="11"/>
  <c r="F26" i="11"/>
  <c r="AS3" i="11"/>
  <c r="AS2" i="11"/>
  <c r="AS10" i="11" s="1"/>
  <c r="AS11" i="11" s="1"/>
  <c r="C41" i="11"/>
  <c r="F118" i="11" s="1"/>
  <c r="O42" i="11"/>
  <c r="K25" i="11" s="1"/>
  <c r="L25" i="11"/>
  <c r="E82" i="11"/>
  <c r="AS2" i="9"/>
  <c r="AS10" i="9" s="1"/>
  <c r="AS3" i="9"/>
  <c r="L25" i="9"/>
  <c r="O42" i="9"/>
  <c r="D125" i="9"/>
  <c r="B62" i="9"/>
  <c r="J120" i="9" s="1"/>
  <c r="K60" i="9"/>
  <c r="I60" i="9"/>
  <c r="D60" i="9"/>
  <c r="D126" i="9" s="1"/>
  <c r="B56" i="9"/>
  <c r="H126" i="9" s="1"/>
  <c r="K54" i="9"/>
  <c r="I54" i="9"/>
  <c r="D54" i="9"/>
  <c r="J124" i="9" s="1"/>
  <c r="B50" i="9"/>
  <c r="F124" i="9" s="1"/>
  <c r="K48" i="9"/>
  <c r="I48" i="9"/>
  <c r="D48" i="9"/>
  <c r="H122" i="9" s="1"/>
  <c r="C41" i="9"/>
  <c r="E118" i="9" s="1"/>
  <c r="C37" i="9"/>
  <c r="E112" i="9" s="1"/>
  <c r="B104" i="9"/>
  <c r="M124" i="9" s="1"/>
  <c r="K102" i="9"/>
  <c r="I102" i="9"/>
  <c r="D102" i="9"/>
  <c r="H129" i="9" s="1"/>
  <c r="D104" i="9"/>
  <c r="B102" i="9"/>
  <c r="M129" i="9" s="1"/>
  <c r="D82" i="9"/>
  <c r="S31" i="9"/>
  <c r="F34" i="9"/>
  <c r="D31" i="9"/>
  <c r="AU5" i="9" s="1"/>
  <c r="AU13" i="9" s="1"/>
  <c r="D29" i="9"/>
  <c r="AU1" i="9" s="1"/>
  <c r="AU9" i="9" s="1"/>
  <c r="F28" i="9"/>
  <c r="AS8" i="9" s="1"/>
  <c r="AS16" i="9" s="1"/>
  <c r="F27" i="9"/>
  <c r="AS6" i="9" s="1"/>
  <c r="AS14" i="9" s="1"/>
  <c r="R26" i="9"/>
  <c r="F26" i="9"/>
  <c r="AS4" i="9" s="1"/>
  <c r="AS12" i="9" s="1"/>
  <c r="B60" i="9"/>
  <c r="D62" i="9"/>
  <c r="B54" i="9"/>
  <c r="D56" i="9"/>
  <c r="J126" i="9" s="1"/>
  <c r="B48" i="9"/>
  <c r="F122" i="9" s="1"/>
  <c r="D50" i="9"/>
  <c r="D68" i="9" l="1"/>
  <c r="K66" i="9"/>
  <c r="K66" i="11"/>
  <c r="B66" i="11"/>
  <c r="D68" i="11"/>
  <c r="D66" i="11"/>
  <c r="I66" i="11"/>
  <c r="O25" i="11"/>
  <c r="N25" i="11"/>
  <c r="B46" i="11"/>
  <c r="F29" i="11"/>
  <c r="D27" i="11"/>
  <c r="B52" i="11" s="1"/>
  <c r="AS4" i="11"/>
  <c r="AS12" i="11" s="1"/>
  <c r="AS13" i="11" s="1"/>
  <c r="F30" i="11"/>
  <c r="D28" i="11"/>
  <c r="B58" i="11" s="1"/>
  <c r="AS6" i="11"/>
  <c r="AS14" i="11" s="1"/>
  <c r="AS15" i="11" s="1"/>
  <c r="F37" i="11"/>
  <c r="R29" i="11"/>
  <c r="AS8" i="11"/>
  <c r="AS16" i="11" s="1"/>
  <c r="R30" i="11"/>
  <c r="AU1" i="11"/>
  <c r="AU9" i="11" s="1"/>
  <c r="F31" i="11"/>
  <c r="AU5" i="11"/>
  <c r="AU13" i="11" s="1"/>
  <c r="B94" i="11"/>
  <c r="B95" i="11" s="1"/>
  <c r="D35" i="11"/>
  <c r="AW5" i="11" s="1"/>
  <c r="AW4" i="11"/>
  <c r="D82" i="11"/>
  <c r="S31" i="11"/>
  <c r="AV8" i="11"/>
  <c r="AV16" i="11" s="1"/>
  <c r="B80" i="11"/>
  <c r="G129" i="11" s="1"/>
  <c r="K78" i="11"/>
  <c r="I78" i="11"/>
  <c r="D78" i="11"/>
  <c r="M123" i="11" s="1"/>
  <c r="D80" i="11"/>
  <c r="B78" i="11"/>
  <c r="G123" i="11" s="1"/>
  <c r="B92" i="11"/>
  <c r="K133" i="11" s="1"/>
  <c r="K90" i="11"/>
  <c r="I90" i="11"/>
  <c r="D90" i="11"/>
  <c r="Q127" i="11" s="1"/>
  <c r="C37" i="11"/>
  <c r="E106" i="11"/>
  <c r="B98" i="11"/>
  <c r="C129" i="11" s="1"/>
  <c r="K96" i="11"/>
  <c r="I96" i="11"/>
  <c r="D96" i="11"/>
  <c r="M119" i="11" s="1"/>
  <c r="B96" i="11"/>
  <c r="C119" i="11" s="1"/>
  <c r="D98" i="11"/>
  <c r="D100" i="11"/>
  <c r="D106" i="11"/>
  <c r="B90" i="11"/>
  <c r="K127" i="11" s="1"/>
  <c r="D92" i="11"/>
  <c r="D2" i="9"/>
  <c r="B46" i="9"/>
  <c r="F29" i="9"/>
  <c r="AU2" i="9" s="1"/>
  <c r="AU10" i="9" s="1"/>
  <c r="D27" i="9"/>
  <c r="AS5" i="9" s="1"/>
  <c r="F30" i="9"/>
  <c r="AU4" i="9" s="1"/>
  <c r="AU12" i="9" s="1"/>
  <c r="D28" i="9"/>
  <c r="AS7" i="9" s="1"/>
  <c r="F37" i="9"/>
  <c r="R29" i="9"/>
  <c r="R30" i="9"/>
  <c r="F31" i="9"/>
  <c r="AU6" i="9" s="1"/>
  <c r="AU14" i="9" s="1"/>
  <c r="B94" i="9"/>
  <c r="D35" i="9"/>
  <c r="AW5" i="9" s="1"/>
  <c r="AW4" i="9"/>
  <c r="B86" i="9"/>
  <c r="H131" i="9" s="1"/>
  <c r="K84" i="9"/>
  <c r="I84" i="9"/>
  <c r="D84" i="9"/>
  <c r="O124" i="9" s="1"/>
  <c r="D86" i="9"/>
  <c r="B84" i="9"/>
  <c r="D112" i="9"/>
  <c r="D110" i="9"/>
  <c r="B108" i="9"/>
  <c r="D108" i="9"/>
  <c r="Q124" i="9" s="1"/>
  <c r="I108" i="9"/>
  <c r="K108" i="9"/>
  <c r="B110" i="9"/>
  <c r="H133" i="9" s="1"/>
  <c r="H124" i="9" l="1"/>
  <c r="O131" i="9"/>
  <c r="B58" i="9"/>
  <c r="B52" i="9"/>
  <c r="C56" i="9" s="1"/>
  <c r="C118" i="11"/>
  <c r="B110" i="11"/>
  <c r="I133" i="11" s="1"/>
  <c r="K108" i="11"/>
  <c r="I108" i="11"/>
  <c r="D108" i="11"/>
  <c r="Q125" i="11" s="1"/>
  <c r="B104" i="11"/>
  <c r="M125" i="11" s="1"/>
  <c r="K102" i="11"/>
  <c r="I102" i="11"/>
  <c r="D102" i="11"/>
  <c r="I129" i="11" s="1"/>
  <c r="D110" i="11"/>
  <c r="B108" i="11"/>
  <c r="E112" i="11"/>
  <c r="D112" i="11"/>
  <c r="D2" i="11"/>
  <c r="B86" i="11"/>
  <c r="I131" i="11" s="1"/>
  <c r="K84" i="11"/>
  <c r="I84" i="11"/>
  <c r="D84" i="11"/>
  <c r="O125" i="11" s="1"/>
  <c r="AW13" i="11"/>
  <c r="AW12" i="11"/>
  <c r="C98" i="11"/>
  <c r="A98" i="11"/>
  <c r="B129" i="11" s="1"/>
  <c r="D97" i="11"/>
  <c r="B97" i="11"/>
  <c r="C128" i="11" s="1"/>
  <c r="A97" i="11"/>
  <c r="B128" i="11" s="1"/>
  <c r="J96" i="11"/>
  <c r="H96" i="11"/>
  <c r="C96" i="11"/>
  <c r="L119" i="11" s="1"/>
  <c r="D95" i="11"/>
  <c r="C97" i="11"/>
  <c r="A96" i="11"/>
  <c r="B119" i="11" s="1"/>
  <c r="A95" i="11"/>
  <c r="B76" i="11"/>
  <c r="AU6" i="11"/>
  <c r="AU14" i="11" s="1"/>
  <c r="AY2" i="11"/>
  <c r="AY10" i="11" s="1"/>
  <c r="C62" i="11"/>
  <c r="A62" i="11"/>
  <c r="J121" i="11" s="1"/>
  <c r="D61" i="11"/>
  <c r="B61" i="11"/>
  <c r="K120" i="11" s="1"/>
  <c r="A61" i="11"/>
  <c r="J120" i="11" s="1"/>
  <c r="J60" i="11"/>
  <c r="H60" i="11"/>
  <c r="C60" i="11"/>
  <c r="D127" i="11" s="1"/>
  <c r="D59" i="11"/>
  <c r="E126" i="11" s="1"/>
  <c r="C61" i="11"/>
  <c r="A60" i="11"/>
  <c r="B59" i="11"/>
  <c r="A59" i="11"/>
  <c r="C59" i="11" s="1"/>
  <c r="D126" i="11" s="1"/>
  <c r="R28" i="11"/>
  <c r="AS7" i="11"/>
  <c r="D33" i="11"/>
  <c r="R32" i="11"/>
  <c r="AU4" i="11"/>
  <c r="AU12" i="11" s="1"/>
  <c r="C56" i="11"/>
  <c r="A56" i="11"/>
  <c r="D55" i="11"/>
  <c r="B55" i="11"/>
  <c r="A55" i="11"/>
  <c r="H126" i="11" s="1"/>
  <c r="J54" i="11"/>
  <c r="H54" i="11"/>
  <c r="C54" i="11"/>
  <c r="D53" i="11"/>
  <c r="C55" i="11"/>
  <c r="A54" i="11"/>
  <c r="B53" i="11"/>
  <c r="A53" i="11"/>
  <c r="C53" i="11" s="1"/>
  <c r="J124" i="11" s="1"/>
  <c r="D30" i="11"/>
  <c r="R27" i="11"/>
  <c r="AS5" i="11"/>
  <c r="B64" i="11"/>
  <c r="R31" i="11"/>
  <c r="AU2" i="11"/>
  <c r="AU10" i="11" s="1"/>
  <c r="AU11" i="11" s="1"/>
  <c r="C50" i="11"/>
  <c r="A50" i="11"/>
  <c r="D49" i="11"/>
  <c r="B49" i="11"/>
  <c r="A49" i="11"/>
  <c r="F124" i="11" s="1"/>
  <c r="J48" i="11"/>
  <c r="H48" i="11"/>
  <c r="C48" i="11"/>
  <c r="D47" i="11"/>
  <c r="C49" i="11"/>
  <c r="A48" i="11"/>
  <c r="B47" i="11"/>
  <c r="A47" i="11"/>
  <c r="F122" i="11" s="1"/>
  <c r="B102" i="11"/>
  <c r="M129" i="11" s="1"/>
  <c r="D104" i="11"/>
  <c r="B84" i="11"/>
  <c r="I125" i="11" s="1"/>
  <c r="D86" i="11"/>
  <c r="O131" i="11" s="1"/>
  <c r="AW13" i="9"/>
  <c r="AW12" i="9"/>
  <c r="B116" i="9"/>
  <c r="Q120" i="9" s="1"/>
  <c r="K114" i="9"/>
  <c r="I114" i="9"/>
  <c r="D114" i="9"/>
  <c r="D133" i="9" s="1"/>
  <c r="D116" i="9"/>
  <c r="D120" i="9" s="1"/>
  <c r="B114" i="9"/>
  <c r="Q133" i="9" s="1"/>
  <c r="C98" i="9"/>
  <c r="A98" i="9"/>
  <c r="B129" i="9" s="1"/>
  <c r="D97" i="9"/>
  <c r="B97" i="9"/>
  <c r="C128" i="9" s="1"/>
  <c r="A97" i="9"/>
  <c r="B128" i="9" s="1"/>
  <c r="J96" i="9"/>
  <c r="H96" i="9"/>
  <c r="C96" i="9"/>
  <c r="L119" i="9" s="1"/>
  <c r="D95" i="9"/>
  <c r="M118" i="9" s="1"/>
  <c r="C97" i="9"/>
  <c r="A96" i="9"/>
  <c r="B119" i="9" s="1"/>
  <c r="B95" i="9"/>
  <c r="C118" i="9" s="1"/>
  <c r="A95" i="9"/>
  <c r="B76" i="9"/>
  <c r="AY2" i="9"/>
  <c r="AY10" i="9" s="1"/>
  <c r="C62" i="9"/>
  <c r="A62" i="9"/>
  <c r="D61" i="9"/>
  <c r="B61" i="9"/>
  <c r="J127" i="9" s="1"/>
  <c r="A61" i="9"/>
  <c r="I127" i="9" s="1"/>
  <c r="J60" i="9"/>
  <c r="H60" i="9"/>
  <c r="C60" i="9"/>
  <c r="K126" i="9" s="1"/>
  <c r="D59" i="9"/>
  <c r="C61" i="9"/>
  <c r="A60" i="9"/>
  <c r="A59" i="9"/>
  <c r="C59" i="9" s="1"/>
  <c r="K125" i="9" s="1"/>
  <c r="B59" i="9"/>
  <c r="R28" i="9"/>
  <c r="D33" i="9"/>
  <c r="R32" i="9"/>
  <c r="A56" i="9"/>
  <c r="G126" i="9" s="1"/>
  <c r="B55" i="9"/>
  <c r="H123" i="9" s="1"/>
  <c r="J54" i="9"/>
  <c r="C54" i="9"/>
  <c r="I124" i="9" s="1"/>
  <c r="C55" i="9"/>
  <c r="A53" i="9"/>
  <c r="C53" i="9" s="1"/>
  <c r="I123" i="9" s="1"/>
  <c r="D30" i="9"/>
  <c r="AU3" i="9" s="1"/>
  <c r="R27" i="9"/>
  <c r="B64" i="9"/>
  <c r="R31" i="9"/>
  <c r="C50" i="9"/>
  <c r="A50" i="9"/>
  <c r="E124" i="9" s="1"/>
  <c r="D49" i="9"/>
  <c r="B49" i="9"/>
  <c r="F123" i="9" s="1"/>
  <c r="A49" i="9"/>
  <c r="E123" i="9" s="1"/>
  <c r="J48" i="9"/>
  <c r="H48" i="9"/>
  <c r="C48" i="9"/>
  <c r="D47" i="9"/>
  <c r="C49" i="9"/>
  <c r="A48" i="9"/>
  <c r="A47" i="9"/>
  <c r="B47" i="9"/>
  <c r="F121" i="9" s="1"/>
  <c r="B53" i="9" l="1"/>
  <c r="A54" i="9"/>
  <c r="D53" i="9"/>
  <c r="J123" i="9" s="1"/>
  <c r="H54" i="9"/>
  <c r="O54" i="9" s="1"/>
  <c r="A55" i="9"/>
  <c r="G125" i="9" s="1"/>
  <c r="D55" i="9"/>
  <c r="BA3" i="11"/>
  <c r="BA6" i="11"/>
  <c r="BA5" i="11"/>
  <c r="BA4" i="11"/>
  <c r="B118" i="11"/>
  <c r="M118" i="11"/>
  <c r="C47" i="11"/>
  <c r="H122" i="11" s="1"/>
  <c r="O48" i="11"/>
  <c r="K26" i="11" s="1"/>
  <c r="L26" i="11"/>
  <c r="C68" i="11"/>
  <c r="A68" i="11"/>
  <c r="D67" i="11"/>
  <c r="B67" i="11"/>
  <c r="A67" i="11"/>
  <c r="L130" i="11" s="1"/>
  <c r="J66" i="11"/>
  <c r="H66" i="11"/>
  <c r="C66" i="11"/>
  <c r="D65" i="11"/>
  <c r="C67" i="11"/>
  <c r="A66" i="11"/>
  <c r="B65" i="11"/>
  <c r="A65" i="11"/>
  <c r="D32" i="11"/>
  <c r="AU3" i="11"/>
  <c r="O54" i="11"/>
  <c r="K27" i="11" s="1"/>
  <c r="L27" i="11"/>
  <c r="F33" i="11"/>
  <c r="AW1" i="11"/>
  <c r="AW9" i="11" s="1"/>
  <c r="O60" i="11"/>
  <c r="K28" i="11" s="1"/>
  <c r="L28" i="11"/>
  <c r="C80" i="11"/>
  <c r="A80" i="11"/>
  <c r="D79" i="11"/>
  <c r="B79" i="11"/>
  <c r="A79" i="11"/>
  <c r="J78" i="11"/>
  <c r="H78" i="11"/>
  <c r="C78" i="11"/>
  <c r="D77" i="11"/>
  <c r="M122" i="11" s="1"/>
  <c r="C79" i="11"/>
  <c r="A78" i="11"/>
  <c r="A77" i="11"/>
  <c r="C77" i="11" s="1"/>
  <c r="L122" i="11" s="1"/>
  <c r="B77" i="11"/>
  <c r="C95" i="11"/>
  <c r="O96" i="11"/>
  <c r="K34" i="11" s="1"/>
  <c r="L34" i="11"/>
  <c r="B116" i="11"/>
  <c r="Q121" i="11" s="1"/>
  <c r="K114" i="11"/>
  <c r="I114" i="11"/>
  <c r="D114" i="11"/>
  <c r="E133" i="11" s="1"/>
  <c r="D116" i="11"/>
  <c r="E121" i="11" s="1"/>
  <c r="B114" i="11"/>
  <c r="Q133" i="11" s="1"/>
  <c r="B70" i="11"/>
  <c r="O48" i="9"/>
  <c r="L26" i="9"/>
  <c r="L27" i="9"/>
  <c r="O60" i="9"/>
  <c r="L28" i="9"/>
  <c r="O96" i="9"/>
  <c r="L34" i="9"/>
  <c r="C47" i="9"/>
  <c r="G121" i="9" s="1"/>
  <c r="G122" i="9"/>
  <c r="H121" i="9"/>
  <c r="C68" i="9"/>
  <c r="A68" i="9"/>
  <c r="L131" i="9" s="1"/>
  <c r="D67" i="9"/>
  <c r="B67" i="9"/>
  <c r="M130" i="9" s="1"/>
  <c r="A67" i="9"/>
  <c r="L130" i="9" s="1"/>
  <c r="J66" i="9"/>
  <c r="H66" i="9"/>
  <c r="C66" i="9"/>
  <c r="N129" i="9" s="1"/>
  <c r="D65" i="9"/>
  <c r="O128" i="9" s="1"/>
  <c r="C67" i="9"/>
  <c r="A66" i="9"/>
  <c r="B65" i="9"/>
  <c r="A65" i="9"/>
  <c r="D32" i="9"/>
  <c r="AU7" i="9" s="1"/>
  <c r="AU15" i="9" s="1"/>
  <c r="F33" i="9"/>
  <c r="AW1" i="9"/>
  <c r="AW9" i="9" s="1"/>
  <c r="I128" i="9"/>
  <c r="I120" i="9"/>
  <c r="C80" i="9"/>
  <c r="A80" i="9"/>
  <c r="E129" i="9" s="1"/>
  <c r="D79" i="9"/>
  <c r="B79" i="9"/>
  <c r="F128" i="9" s="1"/>
  <c r="A79" i="9"/>
  <c r="E128" i="9" s="1"/>
  <c r="J78" i="9"/>
  <c r="H78" i="9"/>
  <c r="C78" i="9"/>
  <c r="L122" i="9" s="1"/>
  <c r="D77" i="9"/>
  <c r="M121" i="9" s="1"/>
  <c r="A77" i="9"/>
  <c r="C77" i="9" s="1"/>
  <c r="L121" i="9" s="1"/>
  <c r="B77" i="9"/>
  <c r="A78" i="9"/>
  <c r="C79" i="9"/>
  <c r="C95" i="9"/>
  <c r="L118" i="9" s="1"/>
  <c r="B118" i="9"/>
  <c r="E122" i="9"/>
  <c r="B70" i="9"/>
  <c r="E150" i="11" l="1"/>
  <c r="E151" i="9"/>
  <c r="L123" i="11"/>
  <c r="L118" i="11"/>
  <c r="C74" i="11"/>
  <c r="A74" i="11"/>
  <c r="D73" i="11"/>
  <c r="B73" i="11"/>
  <c r="A73" i="11"/>
  <c r="N132" i="11" s="1"/>
  <c r="J72" i="11"/>
  <c r="H72" i="11"/>
  <c r="C72" i="11"/>
  <c r="D71" i="11"/>
  <c r="C73" i="11"/>
  <c r="A72" i="11"/>
  <c r="B71" i="11"/>
  <c r="A71" i="11"/>
  <c r="C71" i="11" s="1"/>
  <c r="P130" i="11" s="1"/>
  <c r="O34" i="11"/>
  <c r="N34" i="11"/>
  <c r="O78" i="11"/>
  <c r="K31" i="11" s="1"/>
  <c r="L31" i="11"/>
  <c r="O28" i="11"/>
  <c r="N28" i="11"/>
  <c r="F36" i="11"/>
  <c r="AW2" i="11"/>
  <c r="AW10" i="11" s="1"/>
  <c r="O27" i="11"/>
  <c r="N27" i="11"/>
  <c r="F32" i="11"/>
  <c r="AU7" i="11"/>
  <c r="AU15" i="11" s="1"/>
  <c r="C65" i="11"/>
  <c r="N128" i="11" s="1"/>
  <c r="O66" i="11"/>
  <c r="K29" i="11" s="1"/>
  <c r="L29" i="11"/>
  <c r="O26" i="11"/>
  <c r="N26" i="11"/>
  <c r="O78" i="9"/>
  <c r="L31" i="9"/>
  <c r="O66" i="9"/>
  <c r="L29" i="9"/>
  <c r="C74" i="9"/>
  <c r="A74" i="9"/>
  <c r="N133" i="9" s="1"/>
  <c r="D73" i="9"/>
  <c r="B73" i="9"/>
  <c r="O132" i="9" s="1"/>
  <c r="A73" i="9"/>
  <c r="N132" i="9" s="1"/>
  <c r="J72" i="9"/>
  <c r="H72" i="9"/>
  <c r="C72" i="9"/>
  <c r="P131" i="9" s="1"/>
  <c r="D71" i="9"/>
  <c r="Q130" i="9" s="1"/>
  <c r="C73" i="9"/>
  <c r="A72" i="9"/>
  <c r="B71" i="9"/>
  <c r="A71" i="9"/>
  <c r="C71" i="9" s="1"/>
  <c r="P130" i="9" s="1"/>
  <c r="F36" i="9"/>
  <c r="AW2" i="9"/>
  <c r="AW10" i="9" s="1"/>
  <c r="F32" i="9"/>
  <c r="AU8" i="9" s="1"/>
  <c r="AU16" i="9" s="1"/>
  <c r="C65" i="9"/>
  <c r="N128" i="9" s="1"/>
  <c r="E121" i="9"/>
  <c r="E151" i="11" l="1"/>
  <c r="O29" i="11"/>
  <c r="N29" i="11"/>
  <c r="B88" i="11"/>
  <c r="B82" i="11"/>
  <c r="F35" i="11"/>
  <c r="AU8" i="11"/>
  <c r="AU16" i="11" s="1"/>
  <c r="D37" i="11"/>
  <c r="AW8" i="11"/>
  <c r="AW16" i="11" s="1"/>
  <c r="O31" i="11"/>
  <c r="N31" i="11"/>
  <c r="O72" i="11"/>
  <c r="K30" i="11" s="1"/>
  <c r="L30" i="11"/>
  <c r="O72" i="9"/>
  <c r="L30" i="9"/>
  <c r="E150" i="9"/>
  <c r="B88" i="9"/>
  <c r="B82" i="9"/>
  <c r="F35" i="9"/>
  <c r="D37" i="9"/>
  <c r="AW8" i="9"/>
  <c r="AW16" i="9" s="1"/>
  <c r="O30" i="11" l="1"/>
  <c r="N30" i="11"/>
  <c r="AY1" i="11"/>
  <c r="AY9" i="11" s="1"/>
  <c r="B112" i="11"/>
  <c r="B100" i="11"/>
  <c r="D36" i="11"/>
  <c r="AW6" i="11"/>
  <c r="AW14" i="11" s="1"/>
  <c r="AW15" i="11" s="1"/>
  <c r="C86" i="11"/>
  <c r="A86" i="11"/>
  <c r="D85" i="11"/>
  <c r="B85" i="11"/>
  <c r="A85" i="11"/>
  <c r="J84" i="11"/>
  <c r="H84" i="11"/>
  <c r="C84" i="11"/>
  <c r="N124" i="11" s="1"/>
  <c r="D83" i="11"/>
  <c r="O124" i="11" s="1"/>
  <c r="C85" i="11"/>
  <c r="A84" i="11"/>
  <c r="A83" i="11"/>
  <c r="B83" i="11"/>
  <c r="C92" i="11"/>
  <c r="A92" i="11"/>
  <c r="D91" i="11"/>
  <c r="B91" i="11"/>
  <c r="A91" i="11"/>
  <c r="J90" i="11"/>
  <c r="H90" i="11"/>
  <c r="C90" i="11"/>
  <c r="P127" i="11" s="1"/>
  <c r="D89" i="11"/>
  <c r="Q126" i="11" s="1"/>
  <c r="C91" i="11"/>
  <c r="A90" i="11"/>
  <c r="A89" i="11"/>
  <c r="J126" i="11" s="1"/>
  <c r="B89" i="11"/>
  <c r="AY1" i="9"/>
  <c r="AY9" i="9" s="1"/>
  <c r="B112" i="9"/>
  <c r="B100" i="9"/>
  <c r="D36" i="9"/>
  <c r="AW6" i="9"/>
  <c r="AW14" i="9" s="1"/>
  <c r="C86" i="9"/>
  <c r="N131" i="9" s="1"/>
  <c r="A86" i="9"/>
  <c r="G131" i="9" s="1"/>
  <c r="D85" i="9"/>
  <c r="O130" i="9" s="1"/>
  <c r="B85" i="9"/>
  <c r="H130" i="9" s="1"/>
  <c r="A85" i="9"/>
  <c r="G130" i="9" s="1"/>
  <c r="J84" i="9"/>
  <c r="H84" i="9"/>
  <c r="C84" i="9"/>
  <c r="N124" i="9" s="1"/>
  <c r="D83" i="9"/>
  <c r="O123" i="9" s="1"/>
  <c r="C85" i="9"/>
  <c r="N130" i="9" s="1"/>
  <c r="A84" i="9"/>
  <c r="A83" i="9"/>
  <c r="B83" i="9"/>
  <c r="C92" i="9"/>
  <c r="A92" i="9"/>
  <c r="I133" i="9" s="1"/>
  <c r="D91" i="9"/>
  <c r="B91" i="9"/>
  <c r="J132" i="9" s="1"/>
  <c r="A91" i="9"/>
  <c r="I132" i="9" s="1"/>
  <c r="J90" i="9"/>
  <c r="H90" i="9"/>
  <c r="C90" i="9"/>
  <c r="P126" i="9" s="1"/>
  <c r="D89" i="9"/>
  <c r="Q125" i="9" s="1"/>
  <c r="C91" i="9"/>
  <c r="A90" i="9"/>
  <c r="I126" i="9" s="1"/>
  <c r="B89" i="9"/>
  <c r="J125" i="9" s="1"/>
  <c r="A89" i="9"/>
  <c r="E155" i="9" l="1"/>
  <c r="E160" i="9"/>
  <c r="N125" i="11"/>
  <c r="N130" i="11"/>
  <c r="E155" i="11"/>
  <c r="C89" i="11"/>
  <c r="O90" i="11"/>
  <c r="K33" i="11" s="1"/>
  <c r="L33" i="11"/>
  <c r="C83" i="11"/>
  <c r="O84" i="11"/>
  <c r="K32" i="11" s="1"/>
  <c r="L32" i="11"/>
  <c r="AW7" i="11"/>
  <c r="B106" i="11"/>
  <c r="C104" i="11"/>
  <c r="A104" i="11"/>
  <c r="L125" i="11" s="1"/>
  <c r="D103" i="11"/>
  <c r="B103" i="11"/>
  <c r="M124" i="11" s="1"/>
  <c r="A103" i="11"/>
  <c r="L124" i="11" s="1"/>
  <c r="J102" i="11"/>
  <c r="H102" i="11"/>
  <c r="C102" i="11"/>
  <c r="H129" i="11" s="1"/>
  <c r="D101" i="11"/>
  <c r="I128" i="11" s="1"/>
  <c r="C103" i="11"/>
  <c r="A102" i="11"/>
  <c r="L129" i="11" s="1"/>
  <c r="A101" i="11"/>
  <c r="L128" i="11" s="1"/>
  <c r="B101" i="11"/>
  <c r="M128" i="11" s="1"/>
  <c r="C116" i="11"/>
  <c r="A116" i="11"/>
  <c r="P121" i="11" s="1"/>
  <c r="D115" i="11"/>
  <c r="E120" i="11" s="1"/>
  <c r="B115" i="11"/>
  <c r="Q120" i="11" s="1"/>
  <c r="A115" i="11"/>
  <c r="P120" i="11" s="1"/>
  <c r="J114" i="11"/>
  <c r="H114" i="11"/>
  <c r="C114" i="11"/>
  <c r="D133" i="11" s="1"/>
  <c r="D113" i="11"/>
  <c r="E132" i="11" s="1"/>
  <c r="C115" i="11"/>
  <c r="D120" i="11" s="1"/>
  <c r="A114" i="11"/>
  <c r="B113" i="11"/>
  <c r="A113" i="11"/>
  <c r="C113" i="11" s="1"/>
  <c r="D132" i="11" s="1"/>
  <c r="O90" i="9"/>
  <c r="L33" i="9"/>
  <c r="O84" i="9"/>
  <c r="L32" i="9"/>
  <c r="E159" i="9"/>
  <c r="C89" i="9"/>
  <c r="P125" i="9" s="1"/>
  <c r="I125" i="9"/>
  <c r="C83" i="9"/>
  <c r="N123" i="9" s="1"/>
  <c r="AW7" i="9"/>
  <c r="B106" i="9"/>
  <c r="C104" i="9"/>
  <c r="A104" i="9"/>
  <c r="L124" i="9" s="1"/>
  <c r="D103" i="9"/>
  <c r="B103" i="9"/>
  <c r="M123" i="9" s="1"/>
  <c r="A103" i="9"/>
  <c r="L123" i="9" s="1"/>
  <c r="J102" i="9"/>
  <c r="H102" i="9"/>
  <c r="C102" i="9"/>
  <c r="G129" i="9" s="1"/>
  <c r="D101" i="9"/>
  <c r="H128" i="9" s="1"/>
  <c r="C103" i="9"/>
  <c r="A102" i="9"/>
  <c r="L129" i="9" s="1"/>
  <c r="B101" i="9"/>
  <c r="M128" i="9" s="1"/>
  <c r="A101" i="9"/>
  <c r="C116" i="9"/>
  <c r="K120" i="9" s="1"/>
  <c r="A116" i="9"/>
  <c r="P120" i="9" s="1"/>
  <c r="D115" i="9"/>
  <c r="D127" i="9" s="1"/>
  <c r="B115" i="9"/>
  <c r="Q127" i="9" s="1"/>
  <c r="A115" i="9"/>
  <c r="P127" i="9" s="1"/>
  <c r="J114" i="9"/>
  <c r="H114" i="9"/>
  <c r="C114" i="9"/>
  <c r="K133" i="9" s="1"/>
  <c r="D113" i="9"/>
  <c r="D132" i="9" s="1"/>
  <c r="C115" i="9"/>
  <c r="K127" i="9" s="1"/>
  <c r="A114" i="9"/>
  <c r="B113" i="9"/>
  <c r="A113" i="9"/>
  <c r="C113" i="9" s="1"/>
  <c r="K132" i="9" s="1"/>
  <c r="E156" i="9" l="1"/>
  <c r="E154" i="9"/>
  <c r="P126" i="11"/>
  <c r="E154" i="11" s="1"/>
  <c r="E157" i="11"/>
  <c r="D121" i="11"/>
  <c r="E158" i="11"/>
  <c r="E159" i="11"/>
  <c r="O114" i="11"/>
  <c r="K37" i="11" s="1"/>
  <c r="L37" i="11"/>
  <c r="K142" i="11"/>
  <c r="R37" i="11" s="1"/>
  <c r="K141" i="11"/>
  <c r="R36" i="11" s="1"/>
  <c r="K140" i="11"/>
  <c r="R35" i="11" s="1"/>
  <c r="C101" i="11"/>
  <c r="H128" i="11" s="1"/>
  <c r="E156" i="11" s="1"/>
  <c r="O102" i="11"/>
  <c r="K35" i="11" s="1"/>
  <c r="L35" i="11"/>
  <c r="C110" i="11"/>
  <c r="P133" i="11" s="1"/>
  <c r="A110" i="11"/>
  <c r="H133" i="11" s="1"/>
  <c r="D109" i="11"/>
  <c r="Q132" i="11" s="1"/>
  <c r="B109" i="11"/>
  <c r="I132" i="11" s="1"/>
  <c r="A109" i="11"/>
  <c r="H132" i="11" s="1"/>
  <c r="J108" i="11"/>
  <c r="H108" i="11"/>
  <c r="C108" i="11"/>
  <c r="P125" i="11" s="1"/>
  <c r="D107" i="11"/>
  <c r="Q124" i="11" s="1"/>
  <c r="C109" i="11"/>
  <c r="P132" i="11" s="1"/>
  <c r="A108" i="11"/>
  <c r="H125" i="11" s="1"/>
  <c r="B107" i="11"/>
  <c r="I124" i="11" s="1"/>
  <c r="A107" i="11"/>
  <c r="C107" i="11" s="1"/>
  <c r="P124" i="11" s="1"/>
  <c r="O32" i="11"/>
  <c r="N32" i="11"/>
  <c r="O33" i="11"/>
  <c r="N33" i="11"/>
  <c r="O114" i="9"/>
  <c r="L37" i="9"/>
  <c r="O102" i="9"/>
  <c r="L35" i="9"/>
  <c r="E158" i="9"/>
  <c r="C101" i="9"/>
  <c r="G128" i="9" s="1"/>
  <c r="L128" i="9"/>
  <c r="C110" i="9"/>
  <c r="P133" i="9" s="1"/>
  <c r="A110" i="9"/>
  <c r="G133" i="9" s="1"/>
  <c r="D109" i="9"/>
  <c r="Q132" i="9" s="1"/>
  <c r="B109" i="9"/>
  <c r="H132" i="9" s="1"/>
  <c r="A109" i="9"/>
  <c r="G132" i="9" s="1"/>
  <c r="J108" i="9"/>
  <c r="H108" i="9"/>
  <c r="C108" i="9"/>
  <c r="P124" i="9" s="1"/>
  <c r="D107" i="9"/>
  <c r="Q123" i="9" s="1"/>
  <c r="C109" i="9"/>
  <c r="P132" i="9" s="1"/>
  <c r="A108" i="9"/>
  <c r="G124" i="9" s="1"/>
  <c r="B107" i="9"/>
  <c r="A107" i="9"/>
  <c r="C107" i="9" s="1"/>
  <c r="P123" i="9" s="1"/>
  <c r="E162" i="9" l="1"/>
  <c r="E153" i="9"/>
  <c r="H124" i="11"/>
  <c r="E152" i="11" s="1"/>
  <c r="E160" i="11"/>
  <c r="E161" i="11"/>
  <c r="E153" i="11"/>
  <c r="O108" i="11"/>
  <c r="K36" i="11" s="1"/>
  <c r="L36" i="11"/>
  <c r="O35" i="11"/>
  <c r="N35" i="11"/>
  <c r="O37" i="11"/>
  <c r="N37" i="11"/>
  <c r="O108" i="9"/>
  <c r="L36" i="9"/>
  <c r="E161" i="9"/>
  <c r="E157" i="9"/>
  <c r="G123" i="9"/>
  <c r="H5" i="11" l="1"/>
  <c r="H6" i="11"/>
  <c r="H7" i="11"/>
  <c r="H8" i="11"/>
  <c r="H9" i="1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I16" i="11" s="1"/>
  <c r="I9" i="11"/>
  <c r="I8" i="11"/>
  <c r="I7" i="11"/>
  <c r="I6" i="11"/>
  <c r="I5" i="11"/>
  <c r="O36" i="11"/>
  <c r="N36" i="11"/>
  <c r="E152" i="9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0" i="9"/>
  <c r="I10" i="9" s="1"/>
  <c r="H9" i="9"/>
  <c r="I9" i="9" s="1"/>
  <c r="H8" i="9"/>
  <c r="I8" i="9" s="1"/>
  <c r="H7" i="9"/>
  <c r="I7" i="9" s="1"/>
  <c r="H6" i="9"/>
  <c r="I6" i="9" s="1"/>
  <c r="H5" i="9"/>
  <c r="I5" i="9" s="1"/>
  <c r="V32" i="9" l="1"/>
  <c r="W31" i="9"/>
  <c r="AV11" i="9"/>
  <c r="V31" i="9"/>
  <c r="AU11" i="9"/>
  <c r="W30" i="9"/>
  <c r="AX13" i="9"/>
  <c r="V30" i="9"/>
  <c r="V29" i="9"/>
  <c r="BA3" i="9"/>
  <c r="W28" i="9"/>
  <c r="AT15" i="9"/>
  <c r="V28" i="9"/>
  <c r="AS15" i="9"/>
  <c r="W27" i="9"/>
  <c r="AX15" i="9"/>
  <c r="AT13" i="9"/>
  <c r="V27" i="9"/>
  <c r="AS13" i="9"/>
  <c r="AW15" i="9"/>
  <c r="W26" i="9"/>
  <c r="K142" i="9"/>
  <c r="R37" i="9" s="1"/>
  <c r="K141" i="9"/>
  <c r="R36" i="9" s="1"/>
  <c r="K140" i="9"/>
  <c r="R35" i="9" s="1"/>
  <c r="V26" i="9"/>
  <c r="AS11" i="9"/>
  <c r="W32" i="9"/>
  <c r="AZ9" i="9"/>
  <c r="BA12" i="9" l="1"/>
  <c r="BA13" i="9" s="1"/>
  <c r="BA14" i="9" s="1"/>
  <c r="BA11" i="9"/>
  <c r="BA10" i="9"/>
  <c r="BA6" i="9"/>
  <c r="BA5" i="9"/>
  <c r="BA4" i="9"/>
  <c r="K25" i="9"/>
  <c r="K26" i="9"/>
  <c r="K31" i="9"/>
  <c r="K27" i="9"/>
  <c r="K32" i="9"/>
  <c r="K28" i="9"/>
  <c r="K29" i="9"/>
  <c r="K34" i="9"/>
  <c r="BA15" i="9"/>
  <c r="BA9" i="9"/>
  <c r="BA16" i="9" s="1"/>
  <c r="BA7" i="9"/>
  <c r="BA8" i="9"/>
  <c r="K37" i="9" l="1"/>
  <c r="K30" i="9"/>
  <c r="K35" i="9"/>
  <c r="K33" i="9"/>
  <c r="K36" i="9"/>
  <c r="BA17" i="9"/>
  <c r="BA18" i="9" s="1"/>
  <c r="T119" i="7" l="1"/>
  <c r="T118" i="7"/>
  <c r="T117" i="7"/>
  <c r="T116" i="7"/>
  <c r="T115" i="7"/>
  <c r="T114" i="7"/>
  <c r="T113" i="7"/>
  <c r="T112" i="7"/>
  <c r="Z103" i="7"/>
  <c r="M103" i="7"/>
  <c r="Z102" i="7"/>
  <c r="M102" i="7"/>
  <c r="Z101" i="7"/>
  <c r="M101" i="7"/>
  <c r="Z100" i="7"/>
  <c r="M100" i="7"/>
  <c r="K100" i="7"/>
  <c r="J100" i="7"/>
  <c r="I100" i="7"/>
  <c r="H100" i="7"/>
  <c r="AD99" i="7"/>
  <c r="AC99" i="7"/>
  <c r="AB99" i="7"/>
  <c r="AA99" i="7"/>
  <c r="Z97" i="7"/>
  <c r="M97" i="7"/>
  <c r="Z96" i="7"/>
  <c r="M96" i="7"/>
  <c r="Z95" i="7"/>
  <c r="M95" i="7"/>
  <c r="Z94" i="7"/>
  <c r="M94" i="7"/>
  <c r="K94" i="7"/>
  <c r="J94" i="7"/>
  <c r="I94" i="7"/>
  <c r="H94" i="7"/>
  <c r="AD93" i="7"/>
  <c r="AC93" i="7"/>
  <c r="AB93" i="7"/>
  <c r="AA93" i="7"/>
  <c r="Z91" i="7"/>
  <c r="M91" i="7"/>
  <c r="Z90" i="7"/>
  <c r="M90" i="7"/>
  <c r="Z89" i="7"/>
  <c r="Z88" i="7"/>
  <c r="K88" i="7"/>
  <c r="J88" i="7"/>
  <c r="I88" i="7"/>
  <c r="H88" i="7"/>
  <c r="AD87" i="7"/>
  <c r="AC87" i="7"/>
  <c r="AB87" i="7"/>
  <c r="AA87" i="7"/>
  <c r="Z85" i="7"/>
  <c r="Z84" i="7"/>
  <c r="Z83" i="7"/>
  <c r="M83" i="7"/>
  <c r="Z82" i="7"/>
  <c r="M82" i="7"/>
  <c r="K82" i="7"/>
  <c r="J82" i="7"/>
  <c r="I82" i="7"/>
  <c r="H82" i="7"/>
  <c r="AD81" i="7"/>
  <c r="AC81" i="7"/>
  <c r="AB81" i="7"/>
  <c r="AA81" i="7"/>
  <c r="Z79" i="7"/>
  <c r="M79" i="7"/>
  <c r="Z78" i="7"/>
  <c r="M78" i="7"/>
  <c r="Z77" i="7"/>
  <c r="M77" i="7"/>
  <c r="Z76" i="7"/>
  <c r="M76" i="7"/>
  <c r="K76" i="7"/>
  <c r="J76" i="7"/>
  <c r="I76" i="7"/>
  <c r="H76" i="7"/>
  <c r="AD75" i="7"/>
  <c r="AC75" i="7"/>
  <c r="AB75" i="7"/>
  <c r="AA75" i="7"/>
  <c r="Z73" i="7"/>
  <c r="M73" i="7"/>
  <c r="Z72" i="7"/>
  <c r="M72" i="7"/>
  <c r="Z71" i="7"/>
  <c r="M71" i="7"/>
  <c r="Z70" i="7"/>
  <c r="M70" i="7"/>
  <c r="K70" i="7"/>
  <c r="J70" i="7"/>
  <c r="I70" i="7"/>
  <c r="H70" i="7"/>
  <c r="AD69" i="7"/>
  <c r="AC69" i="7"/>
  <c r="AB69" i="7"/>
  <c r="AA69" i="7"/>
  <c r="Z67" i="7"/>
  <c r="M67" i="7"/>
  <c r="Z66" i="7"/>
  <c r="M66" i="7"/>
  <c r="Z65" i="7"/>
  <c r="M65" i="7"/>
  <c r="Z64" i="7"/>
  <c r="M64" i="7"/>
  <c r="K64" i="7"/>
  <c r="J64" i="7"/>
  <c r="I64" i="7"/>
  <c r="H64" i="7"/>
  <c r="AD63" i="7"/>
  <c r="AC63" i="7"/>
  <c r="AB63" i="7"/>
  <c r="AA63" i="7"/>
  <c r="Z61" i="7"/>
  <c r="M61" i="7"/>
  <c r="Z60" i="7"/>
  <c r="M60" i="7"/>
  <c r="Z59" i="7"/>
  <c r="Z58" i="7"/>
  <c r="K58" i="7"/>
  <c r="J58" i="7"/>
  <c r="I58" i="7"/>
  <c r="H58" i="7"/>
  <c r="AD57" i="7"/>
  <c r="AC57" i="7"/>
  <c r="AB57" i="7"/>
  <c r="AA57" i="7"/>
  <c r="Z55" i="7"/>
  <c r="M55" i="7"/>
  <c r="Z54" i="7"/>
  <c r="M54" i="7"/>
  <c r="Z53" i="7"/>
  <c r="M53" i="7"/>
  <c r="Z52" i="7"/>
  <c r="M52" i="7"/>
  <c r="K52" i="7"/>
  <c r="J52" i="7"/>
  <c r="I52" i="7"/>
  <c r="H52" i="7"/>
  <c r="AD51" i="7"/>
  <c r="AC51" i="7"/>
  <c r="AB51" i="7"/>
  <c r="AA51" i="7"/>
  <c r="Z49" i="7"/>
  <c r="M49" i="7"/>
  <c r="Z48" i="7"/>
  <c r="M48" i="7"/>
  <c r="Z47" i="7"/>
  <c r="Z46" i="7"/>
  <c r="K46" i="7"/>
  <c r="J46" i="7"/>
  <c r="I46" i="7"/>
  <c r="H46" i="7"/>
  <c r="AD45" i="7"/>
  <c r="AC45" i="7"/>
  <c r="AB45" i="7"/>
  <c r="AA45" i="7"/>
  <c r="M42" i="7"/>
  <c r="H42" i="7"/>
  <c r="M41" i="7"/>
  <c r="H41" i="7"/>
  <c r="M40" i="7"/>
  <c r="H40" i="7"/>
  <c r="M39" i="7"/>
  <c r="H39" i="7"/>
  <c r="M38" i="7"/>
  <c r="H38" i="7"/>
  <c r="M37" i="7"/>
  <c r="H37" i="7"/>
  <c r="M36" i="7"/>
  <c r="H36" i="7"/>
  <c r="W35" i="7"/>
  <c r="V35" i="7"/>
  <c r="M35" i="7"/>
  <c r="H35" i="7"/>
  <c r="W34" i="7"/>
  <c r="V34" i="7"/>
  <c r="M34" i="7"/>
  <c r="H34" i="7"/>
  <c r="W33" i="7"/>
  <c r="V33" i="7"/>
  <c r="M33" i="7"/>
  <c r="H33" i="7"/>
  <c r="W32" i="7"/>
  <c r="V32" i="7"/>
  <c r="O30" i="7"/>
  <c r="M32" i="7" s="1"/>
  <c r="C26" i="7"/>
  <c r="B16" i="4"/>
  <c r="B15" i="4"/>
  <c r="D14" i="4"/>
  <c r="B14" i="4"/>
  <c r="D13" i="4"/>
  <c r="B13" i="4"/>
  <c r="B11" i="4"/>
  <c r="B18" i="4" s="1"/>
  <c r="N52" i="6"/>
  <c r="N51" i="6"/>
  <c r="N50" i="6"/>
  <c r="M40" i="6"/>
  <c r="M39" i="6"/>
  <c r="M36" i="6"/>
  <c r="M35" i="6"/>
  <c r="M33" i="6"/>
  <c r="M29" i="6"/>
  <c r="M23" i="6"/>
  <c r="H23" i="6"/>
  <c r="E23" i="6"/>
  <c r="W22" i="6"/>
  <c r="V22" i="6"/>
  <c r="S22" i="6"/>
  <c r="M22" i="6"/>
  <c r="H22" i="6"/>
  <c r="G22" i="6"/>
  <c r="C22" i="6"/>
  <c r="V21" i="6"/>
  <c r="M21" i="6"/>
  <c r="H21" i="6"/>
  <c r="C21" i="6"/>
  <c r="E26" i="6" s="1"/>
  <c r="M20" i="6"/>
  <c r="B14" i="2"/>
  <c r="D14" i="2" s="1"/>
  <c r="B12" i="2"/>
  <c r="B10" i="2"/>
  <c r="B9" i="2"/>
  <c r="D15" i="2" s="1"/>
  <c r="A10" i="1"/>
  <c r="A9" i="1"/>
  <c r="A8" i="1"/>
  <c r="A7" i="1"/>
  <c r="A6" i="1"/>
  <c r="E3" i="1"/>
  <c r="C14" i="4" l="1"/>
  <c r="D32" i="6"/>
  <c r="K34" i="6" s="1"/>
  <c r="F66" i="6"/>
  <c r="AD52" i="7"/>
  <c r="AD54" i="7"/>
  <c r="AD59" i="7"/>
  <c r="AD61" i="7"/>
  <c r="AD89" i="7"/>
  <c r="AD91" i="7"/>
  <c r="I34" i="6"/>
  <c r="D26" i="6"/>
  <c r="D30" i="6" s="1"/>
  <c r="AD48" i="7"/>
  <c r="AD65" i="7"/>
  <c r="AD67" i="7"/>
  <c r="AD71" i="7"/>
  <c r="AD73" i="7"/>
  <c r="AD83" i="7"/>
  <c r="AD95" i="7"/>
  <c r="AD97" i="7"/>
  <c r="AD101" i="7"/>
  <c r="AD103" i="7"/>
  <c r="F21" i="6"/>
  <c r="D22" i="6"/>
  <c r="E32" i="6"/>
  <c r="C13" i="4"/>
  <c r="AD46" i="7"/>
  <c r="AD84" i="7"/>
  <c r="B11" i="2"/>
  <c r="R21" i="6"/>
  <c r="R22" i="6" s="1"/>
  <c r="F22" i="6"/>
  <c r="D23" i="6" s="1"/>
  <c r="AD47" i="7"/>
  <c r="AD49" i="7"/>
  <c r="AD53" i="7"/>
  <c r="AD55" i="7"/>
  <c r="AD60" i="7"/>
  <c r="AD64" i="7"/>
  <c r="AD66" i="7"/>
  <c r="AD70" i="7"/>
  <c r="AD72" i="7"/>
  <c r="AD76" i="7"/>
  <c r="AD82" i="7"/>
  <c r="AD85" i="7"/>
  <c r="AD90" i="7"/>
  <c r="AD94" i="7"/>
  <c r="AD96" i="7"/>
  <c r="AD100" i="7"/>
  <c r="AD102" i="7"/>
  <c r="AD58" i="7"/>
  <c r="AD88" i="7"/>
  <c r="C27" i="7"/>
  <c r="C39" i="7" s="1"/>
  <c r="R32" i="7"/>
  <c r="R33" i="7" s="1"/>
  <c r="C33" i="7"/>
  <c r="C34" i="7"/>
  <c r="E51" i="7" s="1"/>
  <c r="F34" i="7"/>
  <c r="R34" i="7"/>
  <c r="C35" i="7"/>
  <c r="F35" i="7"/>
  <c r="R35" i="7"/>
  <c r="C36" i="7"/>
  <c r="D63" i="7" s="1"/>
  <c r="D36" i="7"/>
  <c r="F36" i="7"/>
  <c r="D37" i="7"/>
  <c r="F37" i="7"/>
  <c r="D38" i="7"/>
  <c r="F38" i="7"/>
  <c r="D39" i="7"/>
  <c r="F40" i="7"/>
  <c r="D41" i="7"/>
  <c r="F41" i="7"/>
  <c r="D42" i="7"/>
  <c r="F42" i="7"/>
  <c r="AA46" i="7"/>
  <c r="AB46" i="7"/>
  <c r="AC46" i="7"/>
  <c r="AA47" i="7"/>
  <c r="AB47" i="7"/>
  <c r="AC47" i="7"/>
  <c r="AA48" i="7"/>
  <c r="AB48" i="7"/>
  <c r="AC48" i="7"/>
  <c r="AA49" i="7"/>
  <c r="AB49" i="7"/>
  <c r="AC49" i="7"/>
  <c r="AA52" i="7"/>
  <c r="AB52" i="7"/>
  <c r="AC52" i="7"/>
  <c r="AA53" i="7"/>
  <c r="AB53" i="7"/>
  <c r="AC53" i="7"/>
  <c r="AA54" i="7"/>
  <c r="AB54" i="7"/>
  <c r="AC54" i="7"/>
  <c r="AA55" i="7"/>
  <c r="AB55" i="7"/>
  <c r="AC55" i="7"/>
  <c r="AA58" i="7"/>
  <c r="AB58" i="7"/>
  <c r="AC58" i="7"/>
  <c r="AA59" i="7"/>
  <c r="AB59" i="7"/>
  <c r="AC59" i="7"/>
  <c r="AA60" i="7"/>
  <c r="AB60" i="7"/>
  <c r="AC60" i="7"/>
  <c r="AA61" i="7"/>
  <c r="AB61" i="7"/>
  <c r="AC61" i="7"/>
  <c r="E63" i="7"/>
  <c r="AA64" i="7"/>
  <c r="AB64" i="7"/>
  <c r="AC64" i="7"/>
  <c r="AA65" i="7"/>
  <c r="AB65" i="7"/>
  <c r="AC65" i="7"/>
  <c r="AA66" i="7"/>
  <c r="AB66" i="7"/>
  <c r="AC66" i="7"/>
  <c r="AA67" i="7"/>
  <c r="AB67" i="7"/>
  <c r="AC67" i="7"/>
  <c r="AA70" i="7"/>
  <c r="AB70" i="7"/>
  <c r="AC70" i="7"/>
  <c r="AA71" i="7"/>
  <c r="AB71" i="7"/>
  <c r="AC71" i="7"/>
  <c r="AA72" i="7"/>
  <c r="AB72" i="7"/>
  <c r="AC72" i="7"/>
  <c r="AA73" i="7"/>
  <c r="AB73" i="7"/>
  <c r="AC73" i="7"/>
  <c r="AA76" i="7"/>
  <c r="AB76" i="7"/>
  <c r="AC76" i="7"/>
  <c r="AD77" i="7"/>
  <c r="AD78" i="7"/>
  <c r="AD79" i="7"/>
  <c r="AA77" i="7"/>
  <c r="AB77" i="7"/>
  <c r="AC77" i="7"/>
  <c r="AA78" i="7"/>
  <c r="AB78" i="7"/>
  <c r="AC78" i="7"/>
  <c r="AA79" i="7"/>
  <c r="AB79" i="7"/>
  <c r="AC79" i="7"/>
  <c r="AA82" i="7"/>
  <c r="AB82" i="7"/>
  <c r="AC82" i="7"/>
  <c r="AA83" i="7"/>
  <c r="AB83" i="7"/>
  <c r="AC83" i="7"/>
  <c r="AA84" i="7"/>
  <c r="AB84" i="7"/>
  <c r="AC84" i="7"/>
  <c r="AA85" i="7"/>
  <c r="AB85" i="7"/>
  <c r="AC85" i="7"/>
  <c r="AA88" i="7"/>
  <c r="AB88" i="7"/>
  <c r="AC88" i="7"/>
  <c r="AA89" i="7"/>
  <c r="AB89" i="7"/>
  <c r="AC89" i="7"/>
  <c r="AA90" i="7"/>
  <c r="AB90" i="7"/>
  <c r="AC90" i="7"/>
  <c r="AA91" i="7"/>
  <c r="AB91" i="7"/>
  <c r="AC91" i="7"/>
  <c r="AA94" i="7"/>
  <c r="AB94" i="7"/>
  <c r="AC94" i="7"/>
  <c r="AA95" i="7"/>
  <c r="AB95" i="7"/>
  <c r="AC95" i="7"/>
  <c r="AA96" i="7"/>
  <c r="AB96" i="7"/>
  <c r="AC96" i="7"/>
  <c r="AA97" i="7"/>
  <c r="AB97" i="7"/>
  <c r="AC97" i="7"/>
  <c r="AA100" i="7"/>
  <c r="AB100" i="7"/>
  <c r="AC100" i="7"/>
  <c r="AA101" i="7"/>
  <c r="AB101" i="7"/>
  <c r="AC101" i="7"/>
  <c r="AA102" i="7"/>
  <c r="AB102" i="7"/>
  <c r="AC102" i="7"/>
  <c r="AA103" i="7"/>
  <c r="AB103" i="7"/>
  <c r="AC103" i="7"/>
  <c r="B32" i="6" l="1"/>
  <c r="C40" i="7"/>
  <c r="E87" i="7" s="1"/>
  <c r="E81" i="7"/>
  <c r="B87" i="7"/>
  <c r="H89" i="7" s="1"/>
  <c r="B36" i="6"/>
  <c r="A35" i="6"/>
  <c r="C36" i="6"/>
  <c r="D35" i="6"/>
  <c r="H34" i="6"/>
  <c r="A36" i="6"/>
  <c r="B35" i="6"/>
  <c r="J34" i="6"/>
  <c r="C34" i="6"/>
  <c r="D33" i="6"/>
  <c r="B81" i="7"/>
  <c r="A82" i="7" s="1"/>
  <c r="C23" i="6"/>
  <c r="D38" i="6" s="1"/>
  <c r="B28" i="6"/>
  <c r="D36" i="6"/>
  <c r="B34" i="6"/>
  <c r="B33" i="6"/>
  <c r="A34" i="6"/>
  <c r="A33" i="6"/>
  <c r="C35" i="6"/>
  <c r="B26" i="6"/>
  <c r="D28" i="6"/>
  <c r="B30" i="6"/>
  <c r="K28" i="6"/>
  <c r="B63" i="7"/>
  <c r="C66" i="7" s="1"/>
  <c r="B57" i="7"/>
  <c r="D34" i="6"/>
  <c r="C84" i="7"/>
  <c r="D67" i="7"/>
  <c r="B65" i="7"/>
  <c r="H119" i="7"/>
  <c r="G119" i="7"/>
  <c r="F119" i="7"/>
  <c r="E119" i="7"/>
  <c r="H118" i="7"/>
  <c r="G118" i="7"/>
  <c r="F118" i="7"/>
  <c r="E118" i="7"/>
  <c r="H117" i="7"/>
  <c r="G117" i="7"/>
  <c r="F117" i="7"/>
  <c r="E117" i="7"/>
  <c r="H116" i="7"/>
  <c r="G116" i="7"/>
  <c r="F116" i="7"/>
  <c r="E116" i="7"/>
  <c r="P111" i="7"/>
  <c r="O111" i="7"/>
  <c r="N111" i="7"/>
  <c r="M111" i="7"/>
  <c r="F111" i="7"/>
  <c r="E111" i="7"/>
  <c r="P110" i="7"/>
  <c r="O110" i="7"/>
  <c r="N110" i="7"/>
  <c r="M110" i="7"/>
  <c r="F110" i="7"/>
  <c r="E110" i="7"/>
  <c r="P109" i="7"/>
  <c r="O109" i="7"/>
  <c r="N109" i="7"/>
  <c r="M109" i="7"/>
  <c r="H109" i="7"/>
  <c r="G109" i="7"/>
  <c r="P108" i="7"/>
  <c r="O108" i="7"/>
  <c r="N108" i="7"/>
  <c r="M108" i="7"/>
  <c r="H108" i="7"/>
  <c r="G108" i="7"/>
  <c r="J89" i="7"/>
  <c r="A84" i="7"/>
  <c r="I110" i="7" s="1"/>
  <c r="J83" i="7"/>
  <c r="H83" i="7"/>
  <c r="C41" i="7"/>
  <c r="B93" i="7" s="1"/>
  <c r="A67" i="7"/>
  <c r="B66" i="7"/>
  <c r="J65" i="7"/>
  <c r="C65" i="7"/>
  <c r="B67" i="7"/>
  <c r="K65" i="7"/>
  <c r="I65" i="7"/>
  <c r="D65" i="7"/>
  <c r="J59" i="7"/>
  <c r="E57" i="7"/>
  <c r="D57" i="7"/>
  <c r="E45" i="7"/>
  <c r="D45" i="7"/>
  <c r="D34" i="7"/>
  <c r="B51" i="7" s="1"/>
  <c r="F33" i="7"/>
  <c r="G42" i="7"/>
  <c r="G41" i="7"/>
  <c r="G40" i="7"/>
  <c r="G39" i="7"/>
  <c r="D81" i="7" s="1"/>
  <c r="G38" i="7"/>
  <c r="C38" i="7"/>
  <c r="E75" i="7" s="1"/>
  <c r="G37" i="7"/>
  <c r="C37" i="7"/>
  <c r="E69" i="7" s="1"/>
  <c r="S34" i="7"/>
  <c r="G34" i="7"/>
  <c r="E34" i="7"/>
  <c r="S32" i="7"/>
  <c r="B64" i="7" l="1"/>
  <c r="B75" i="7"/>
  <c r="J77" i="7" s="1"/>
  <c r="D87" i="7"/>
  <c r="D64" i="7"/>
  <c r="C64" i="7" s="1"/>
  <c r="H65" i="7"/>
  <c r="A66" i="7"/>
  <c r="D66" i="7"/>
  <c r="C67" i="7"/>
  <c r="A64" i="7"/>
  <c r="A65" i="7"/>
  <c r="J28" i="6"/>
  <c r="B38" i="6"/>
  <c r="J40" i="6" s="1"/>
  <c r="O34" i="6"/>
  <c r="K22" i="6"/>
  <c r="L22" i="6" s="1"/>
  <c r="B69" i="7"/>
  <c r="A72" i="7" s="1"/>
  <c r="A29" i="6"/>
  <c r="D27" i="6"/>
  <c r="C30" i="6"/>
  <c r="D29" i="6"/>
  <c r="C28" i="6"/>
  <c r="A30" i="6"/>
  <c r="B29" i="6"/>
  <c r="A27" i="6"/>
  <c r="C29" i="6"/>
  <c r="H50" i="6" s="1"/>
  <c r="H28" i="6"/>
  <c r="O28" i="6" s="1"/>
  <c r="A28" i="6"/>
  <c r="B27" i="6"/>
  <c r="K40" i="6"/>
  <c r="I40" i="6"/>
  <c r="D93" i="7"/>
  <c r="C33" i="6"/>
  <c r="J50" i="6"/>
  <c r="A54" i="7"/>
  <c r="J53" i="7"/>
  <c r="H53" i="7"/>
  <c r="J71" i="7"/>
  <c r="A78" i="7"/>
  <c r="H77" i="7"/>
  <c r="J95" i="7"/>
  <c r="H95" i="7"/>
  <c r="D69" i="7"/>
  <c r="B70" i="7" s="1"/>
  <c r="C78" i="7"/>
  <c r="B85" i="7"/>
  <c r="J111" i="7" s="1"/>
  <c r="K83" i="7"/>
  <c r="I83" i="7"/>
  <c r="D83" i="7"/>
  <c r="H113" i="7" s="1"/>
  <c r="B91" i="7"/>
  <c r="K89" i="7"/>
  <c r="I89" i="7"/>
  <c r="D89" i="7"/>
  <c r="K95" i="7"/>
  <c r="I95" i="7"/>
  <c r="B45" i="7"/>
  <c r="C48" i="7" s="1"/>
  <c r="B49" i="7"/>
  <c r="K47" i="7"/>
  <c r="D47" i="7"/>
  <c r="D49" i="7"/>
  <c r="B47" i="7"/>
  <c r="B46" i="7"/>
  <c r="B61" i="7"/>
  <c r="K59" i="7"/>
  <c r="I59" i="7"/>
  <c r="H59" i="7" s="1"/>
  <c r="D59" i="7"/>
  <c r="D61" i="7"/>
  <c r="C60" i="7"/>
  <c r="B59" i="7"/>
  <c r="F109" i="7" s="1"/>
  <c r="E109" i="7" s="1"/>
  <c r="A59" i="7"/>
  <c r="B58" i="7"/>
  <c r="A58" i="7"/>
  <c r="O65" i="7"/>
  <c r="L36" i="7"/>
  <c r="E93" i="7"/>
  <c r="C42" i="7"/>
  <c r="E99" i="7" s="1"/>
  <c r="D91" i="7"/>
  <c r="C90" i="7"/>
  <c r="B89" i="7"/>
  <c r="A89" i="7"/>
  <c r="B88" i="7"/>
  <c r="A88" i="7"/>
  <c r="O83" i="7"/>
  <c r="L40" i="7"/>
  <c r="D51" i="7"/>
  <c r="A53" i="7" s="1"/>
  <c r="D75" i="7"/>
  <c r="A52" i="7"/>
  <c r="C54" i="7"/>
  <c r="D58" i="7"/>
  <c r="C59" i="7"/>
  <c r="A60" i="7"/>
  <c r="B60" i="7"/>
  <c r="D60" i="7"/>
  <c r="A61" i="7"/>
  <c r="C61" i="7"/>
  <c r="D82" i="7"/>
  <c r="C83" i="7"/>
  <c r="G113" i="7" s="1"/>
  <c r="B84" i="7"/>
  <c r="J110" i="7" s="1"/>
  <c r="D84" i="7"/>
  <c r="A85" i="7"/>
  <c r="I111" i="7" s="1"/>
  <c r="C85" i="7"/>
  <c r="D88" i="7"/>
  <c r="C89" i="7"/>
  <c r="A90" i="7"/>
  <c r="B90" i="7"/>
  <c r="D90" i="7"/>
  <c r="A91" i="7"/>
  <c r="C91" i="7"/>
  <c r="L108" i="7"/>
  <c r="L109" i="7"/>
  <c r="L111" i="7"/>
  <c r="B82" i="7"/>
  <c r="A83" i="7"/>
  <c r="B83" i="7"/>
  <c r="D85" i="7"/>
  <c r="K108" i="7" l="1"/>
  <c r="J108" i="7" s="1"/>
  <c r="C88" i="7"/>
  <c r="B71" i="7"/>
  <c r="D73" i="7"/>
  <c r="L39" i="7"/>
  <c r="H40" i="6"/>
  <c r="F108" i="7"/>
  <c r="A46" i="7"/>
  <c r="C46" i="7" s="1"/>
  <c r="A47" i="7"/>
  <c r="O89" i="7"/>
  <c r="A76" i="7"/>
  <c r="A70" i="7"/>
  <c r="A71" i="7"/>
  <c r="C72" i="7"/>
  <c r="H71" i="7"/>
  <c r="I50" i="6"/>
  <c r="F61" i="6" s="1"/>
  <c r="C27" i="6"/>
  <c r="G50" i="6"/>
  <c r="F50" i="6" s="1"/>
  <c r="E50" i="6" s="1"/>
  <c r="J49" i="6" s="1"/>
  <c r="I49" i="6" s="1"/>
  <c r="H49" i="6" s="1"/>
  <c r="G49" i="6" s="1"/>
  <c r="F49" i="6" s="1"/>
  <c r="E49" i="6" s="1"/>
  <c r="F113" i="7"/>
  <c r="E113" i="7" s="1"/>
  <c r="C3" i="7"/>
  <c r="N22" i="6"/>
  <c r="O22" i="6"/>
  <c r="K109" i="7"/>
  <c r="J109" i="7" s="1"/>
  <c r="I109" i="7" s="1"/>
  <c r="K23" i="6"/>
  <c r="L23" i="6" s="1"/>
  <c r="O40" i="6"/>
  <c r="H110" i="7"/>
  <c r="G110" i="7" s="1"/>
  <c r="C82" i="7"/>
  <c r="G112" i="7" s="1"/>
  <c r="F112" i="7" s="1"/>
  <c r="E112" i="7" s="1"/>
  <c r="H112" i="7"/>
  <c r="B79" i="7"/>
  <c r="K77" i="7"/>
  <c r="I77" i="7"/>
  <c r="L38" i="7" s="1"/>
  <c r="D77" i="7"/>
  <c r="P117" i="7" s="1"/>
  <c r="B55" i="7"/>
  <c r="K53" i="7"/>
  <c r="I53" i="7"/>
  <c r="D53" i="7"/>
  <c r="P115" i="7" s="1"/>
  <c r="D55" i="7"/>
  <c r="B53" i="7"/>
  <c r="B52" i="7"/>
  <c r="K40" i="7"/>
  <c r="O40" i="7"/>
  <c r="N40" i="7"/>
  <c r="K39" i="7"/>
  <c r="O39" i="7"/>
  <c r="N39" i="7"/>
  <c r="D97" i="7"/>
  <c r="C96" i="7"/>
  <c r="K114" i="7" s="1"/>
  <c r="B95" i="7"/>
  <c r="A95" i="7"/>
  <c r="B94" i="7"/>
  <c r="A94" i="7"/>
  <c r="C94" i="7" s="1"/>
  <c r="K36" i="7"/>
  <c r="O36" i="7"/>
  <c r="N36" i="7"/>
  <c r="C58" i="7"/>
  <c r="I108" i="7" s="1"/>
  <c r="E108" i="7"/>
  <c r="O59" i="7"/>
  <c r="L35" i="7"/>
  <c r="C49" i="7"/>
  <c r="A49" i="7"/>
  <c r="D48" i="7"/>
  <c r="B48" i="7"/>
  <c r="A48" i="7"/>
  <c r="J47" i="7"/>
  <c r="C47" i="7"/>
  <c r="K111" i="7" s="1"/>
  <c r="D46" i="7"/>
  <c r="L110" i="7" s="1"/>
  <c r="K110" i="7" s="1"/>
  <c r="H47" i="7"/>
  <c r="B73" i="7"/>
  <c r="K71" i="7"/>
  <c r="I71" i="7"/>
  <c r="O71" i="7" s="1"/>
  <c r="D71" i="7"/>
  <c r="O95" i="7"/>
  <c r="L41" i="7"/>
  <c r="H111" i="7"/>
  <c r="G111" i="7" s="1"/>
  <c r="B99" i="7"/>
  <c r="D99" i="7"/>
  <c r="D95" i="7"/>
  <c r="B97" i="7"/>
  <c r="B76" i="7"/>
  <c r="A77" i="7"/>
  <c r="B77" i="7"/>
  <c r="D79" i="7"/>
  <c r="D94" i="7"/>
  <c r="C95" i="7"/>
  <c r="A96" i="7"/>
  <c r="B96" i="7"/>
  <c r="D96" i="7"/>
  <c r="A97" i="7"/>
  <c r="C97" i="7"/>
  <c r="D76" i="7"/>
  <c r="C77" i="7"/>
  <c r="B78" i="7"/>
  <c r="D78" i="7"/>
  <c r="A79" i="7"/>
  <c r="C79" i="7"/>
  <c r="D70" i="7"/>
  <c r="C70" i="7" s="1"/>
  <c r="C71" i="7"/>
  <c r="B72" i="7"/>
  <c r="D72" i="7"/>
  <c r="A73" i="7"/>
  <c r="C73" i="7"/>
  <c r="D52" i="7"/>
  <c r="C53" i="7"/>
  <c r="B54" i="7"/>
  <c r="D54" i="7"/>
  <c r="A55" i="7"/>
  <c r="C55" i="7"/>
  <c r="L34" i="7" l="1"/>
  <c r="L115" i="7"/>
  <c r="O53" i="7"/>
  <c r="O77" i="7"/>
  <c r="K38" i="7" s="1"/>
  <c r="L37" i="7"/>
  <c r="O23" i="6"/>
  <c r="N23" i="6"/>
  <c r="C52" i="7"/>
  <c r="P114" i="7"/>
  <c r="C76" i="7"/>
  <c r="P116" i="7"/>
  <c r="B103" i="7"/>
  <c r="K101" i="7"/>
  <c r="I101" i="7"/>
  <c r="D101" i="7"/>
  <c r="P113" i="7" s="1"/>
  <c r="C103" i="7"/>
  <c r="A103" i="7"/>
  <c r="D102" i="7"/>
  <c r="B102" i="7"/>
  <c r="A102" i="7"/>
  <c r="J101" i="7"/>
  <c r="H101" i="7"/>
  <c r="C101" i="7"/>
  <c r="D100" i="7"/>
  <c r="P112" i="7" s="1"/>
  <c r="K34" i="7"/>
  <c r="O34" i="7"/>
  <c r="N34" i="7"/>
  <c r="K37" i="7"/>
  <c r="O37" i="7"/>
  <c r="N37" i="7"/>
  <c r="O38" i="7"/>
  <c r="N38" i="7"/>
  <c r="K41" i="7"/>
  <c r="J125" i="7" s="1"/>
  <c r="O41" i="7"/>
  <c r="N41" i="7"/>
  <c r="O47" i="7"/>
  <c r="L33" i="7"/>
  <c r="K35" i="7"/>
  <c r="O35" i="7"/>
  <c r="N35" i="7"/>
  <c r="P118" i="7"/>
  <c r="K115" i="7"/>
  <c r="J115" i="7" s="1"/>
  <c r="I115" i="7" s="1"/>
  <c r="H115" i="7" s="1"/>
  <c r="G115" i="7" s="1"/>
  <c r="F115" i="7" s="1"/>
  <c r="E115" i="7" s="1"/>
  <c r="J114" i="7"/>
  <c r="I114" i="7" s="1"/>
  <c r="H114" i="7" s="1"/>
  <c r="G114" i="7" s="1"/>
  <c r="F114" i="7" s="1"/>
  <c r="E114" i="7" s="1"/>
  <c r="A100" i="7"/>
  <c r="C100" i="7" s="1"/>
  <c r="B100" i="7"/>
  <c r="A101" i="7"/>
  <c r="B101" i="7"/>
  <c r="C102" i="7"/>
  <c r="D103" i="7"/>
  <c r="P119" i="7" s="1"/>
  <c r="O119" i="7" s="1"/>
  <c r="N119" i="7" s="1"/>
  <c r="M119" i="7" s="1"/>
  <c r="L119" i="7" s="1"/>
  <c r="K119" i="7" s="1"/>
  <c r="J119" i="7" s="1"/>
  <c r="I119" i="7" s="1"/>
  <c r="F130" i="7" s="1"/>
  <c r="O115" i="7"/>
  <c r="N115" i="7" s="1"/>
  <c r="M115" i="7" s="1"/>
  <c r="O117" i="7"/>
  <c r="N117" i="7" s="1"/>
  <c r="M117" i="7" s="1"/>
  <c r="L117" i="7" s="1"/>
  <c r="K117" i="7" s="1"/>
  <c r="J117" i="7" s="1"/>
  <c r="I117" i="7" s="1"/>
  <c r="F128" i="7" s="1"/>
  <c r="O114" i="7" l="1"/>
  <c r="N114" i="7" s="1"/>
  <c r="M114" i="7" s="1"/>
  <c r="L114" i="7" s="1"/>
  <c r="F125" i="7" s="1"/>
  <c r="O116" i="7"/>
  <c r="N116" i="7" s="1"/>
  <c r="M116" i="7" s="1"/>
  <c r="L116" i="7" s="1"/>
  <c r="K116" i="7" s="1"/>
  <c r="J116" i="7" s="1"/>
  <c r="I116" i="7" s="1"/>
  <c r="K33" i="7"/>
  <c r="J127" i="7" s="1"/>
  <c r="O33" i="7"/>
  <c r="N33" i="7"/>
  <c r="J128" i="7"/>
  <c r="O101" i="7"/>
  <c r="L42" i="7"/>
  <c r="O118" i="7"/>
  <c r="N118" i="7" s="1"/>
  <c r="M118" i="7" s="1"/>
  <c r="L118" i="7" s="1"/>
  <c r="K118" i="7" s="1"/>
  <c r="J118" i="7" s="1"/>
  <c r="I118" i="7" s="1"/>
  <c r="F129" i="7" s="1"/>
  <c r="J126" i="7"/>
  <c r="F126" i="7" s="1"/>
  <c r="O112" i="7"/>
  <c r="N112" i="7" s="1"/>
  <c r="M112" i="7" s="1"/>
  <c r="L112" i="7" s="1"/>
  <c r="K112" i="7" s="1"/>
  <c r="J112" i="7" s="1"/>
  <c r="I112" i="7" s="1"/>
  <c r="O113" i="7"/>
  <c r="N113" i="7" s="1"/>
  <c r="M113" i="7" s="1"/>
  <c r="L113" i="7" s="1"/>
  <c r="K113" i="7" s="1"/>
  <c r="J113" i="7" s="1"/>
  <c r="I113" i="7" s="1"/>
  <c r="F124" i="7" s="1"/>
  <c r="F127" i="7" l="1"/>
  <c r="C4" i="7"/>
  <c r="J133" i="7"/>
  <c r="D23" i="7"/>
  <c r="D22" i="7"/>
  <c r="D21" i="7"/>
  <c r="D20" i="7"/>
  <c r="D19" i="7"/>
  <c r="D18" i="7"/>
  <c r="D17" i="7"/>
  <c r="D16" i="7"/>
  <c r="K42" i="7"/>
  <c r="O42" i="7"/>
  <c r="N42" i="7"/>
  <c r="J130" i="7" l="1"/>
  <c r="J124" i="7"/>
  <c r="J129" i="7"/>
  <c r="J123" i="7"/>
  <c r="F123" i="7" s="1"/>
  <c r="E22" i="7"/>
  <c r="E23" i="7"/>
  <c r="E16" i="7"/>
  <c r="E17" i="7"/>
  <c r="E18" i="7"/>
  <c r="E19" i="7"/>
  <c r="E20" i="7"/>
  <c r="E21" i="7"/>
  <c r="E38" i="6" l="1"/>
  <c r="D41" i="6" s="1"/>
  <c r="F47" i="6" s="1"/>
  <c r="C41" i="6"/>
  <c r="E47" i="6" s="1"/>
  <c r="B40" i="6"/>
  <c r="J52" i="6" s="1"/>
  <c r="H52" i="6"/>
  <c r="H51" i="6"/>
  <c r="D42" i="6"/>
  <c r="F48" i="6" s="1"/>
  <c r="K21" i="6"/>
  <c r="L21" i="6" s="1"/>
  <c r="N21" i="6" s="1"/>
  <c r="B42" i="6"/>
  <c r="J48" i="6"/>
  <c r="C40" i="6"/>
  <c r="E52" i="6" s="1"/>
  <c r="B41" i="6"/>
  <c r="J47" i="6" s="1"/>
  <c r="G52" i="6"/>
  <c r="A42" i="6"/>
  <c r="I48" i="6" s="1"/>
  <c r="D39" i="6"/>
  <c r="D40" i="6"/>
  <c r="F52" i="6" s="1"/>
  <c r="A41" i="6"/>
  <c r="I47" i="6" s="1"/>
  <c r="H47" i="6"/>
  <c r="G47" i="6"/>
  <c r="H48" i="6"/>
  <c r="G48" i="6"/>
  <c r="G51" i="6"/>
  <c r="F51" i="6"/>
  <c r="A39" i="6" l="1"/>
  <c r="A40" i="6"/>
  <c r="I52" i="6" s="1"/>
  <c r="F63" i="6" s="1"/>
  <c r="C42" i="6"/>
  <c r="E48" i="6" s="1"/>
  <c r="O21" i="6"/>
  <c r="B39" i="6"/>
  <c r="J51" i="6" s="1"/>
  <c r="C39" i="6" l="1"/>
  <c r="E51" i="6" s="1"/>
  <c r="I51" i="6"/>
  <c r="F62" i="6" l="1"/>
  <c r="H56" i="6"/>
  <c r="H55" i="6"/>
  <c r="H57" i="6"/>
</calcChain>
</file>

<file path=xl/sharedStrings.xml><?xml version="1.0" encoding="utf-8"?>
<sst xmlns="http://schemas.openxmlformats.org/spreadsheetml/2006/main" count="555" uniqueCount="174">
  <si>
    <t>W=</t>
  </si>
  <si>
    <t>L=</t>
  </si>
  <si>
    <t>Fb=</t>
  </si>
  <si>
    <t>E=</t>
  </si>
  <si>
    <t>b=</t>
  </si>
  <si>
    <t>h=</t>
  </si>
  <si>
    <t>Fv</t>
  </si>
  <si>
    <t>Z=</t>
  </si>
  <si>
    <t>b(min)=</t>
  </si>
  <si>
    <t>b(max)=</t>
  </si>
  <si>
    <t>h(min)=</t>
  </si>
  <si>
    <t>h(max)=</t>
  </si>
  <si>
    <t>if using b(max)=50 and h(max)=100 then we have well dimention</t>
  </si>
  <si>
    <t>A=</t>
  </si>
  <si>
    <t>Fy=</t>
  </si>
  <si>
    <t>z=</t>
  </si>
  <si>
    <t>A(min)=</t>
  </si>
  <si>
    <t>A(max)=</t>
  </si>
  <si>
    <t>2K</t>
  </si>
  <si>
    <t>∆</t>
  </si>
  <si>
    <t>0.6Fy</t>
  </si>
  <si>
    <t>P1=</t>
  </si>
  <si>
    <t>P1/(0.6Fy)</t>
  </si>
  <si>
    <t>∆=(0.6Fy*A)/(2k)</t>
  </si>
  <si>
    <t>d=</t>
  </si>
  <si>
    <t>t1=</t>
  </si>
  <si>
    <t>t2=</t>
  </si>
  <si>
    <t>Y=</t>
  </si>
  <si>
    <t>h/(t2)=</t>
  </si>
  <si>
    <t>b/(2*t1)=</t>
  </si>
  <si>
    <t>I=</t>
  </si>
  <si>
    <t>t1(min)=</t>
  </si>
  <si>
    <t>t1(max)=</t>
  </si>
  <si>
    <t>t2(min)=</t>
  </si>
  <si>
    <t>t2(max)=</t>
  </si>
  <si>
    <t>d-12*t2</t>
  </si>
  <si>
    <t>d(min)=</t>
  </si>
  <si>
    <t>d(max)=</t>
  </si>
  <si>
    <t>A</t>
  </si>
  <si>
    <t>A1=</t>
  </si>
  <si>
    <t>A2=</t>
  </si>
  <si>
    <t>A3=</t>
  </si>
  <si>
    <t>member</t>
  </si>
  <si>
    <t>L</t>
  </si>
  <si>
    <t>start</t>
  </si>
  <si>
    <t>end</t>
  </si>
  <si>
    <t>E</t>
  </si>
  <si>
    <t>Fy</t>
  </si>
  <si>
    <t>P</t>
  </si>
  <si>
    <t>P/A</t>
  </si>
  <si>
    <t>F.S</t>
  </si>
  <si>
    <t>stress ratio</t>
  </si>
  <si>
    <t>x</t>
  </si>
  <si>
    <t>y</t>
  </si>
  <si>
    <t>lanada-x</t>
  </si>
  <si>
    <t>landa-y</t>
  </si>
  <si>
    <t>q1=</t>
  </si>
  <si>
    <t>=</t>
  </si>
  <si>
    <t>Q1</t>
  </si>
  <si>
    <t>Q2</t>
  </si>
  <si>
    <t>Q10</t>
  </si>
  <si>
    <t>D3</t>
  </si>
  <si>
    <t>D5</t>
  </si>
  <si>
    <t>D6</t>
  </si>
  <si>
    <t>node</t>
  </si>
  <si>
    <t>coordinate-X</t>
  </si>
  <si>
    <t>coordinate-Y</t>
  </si>
  <si>
    <t>Px</t>
  </si>
  <si>
    <t>Py</t>
  </si>
  <si>
    <t>Ux</t>
  </si>
  <si>
    <t>Uy</t>
  </si>
  <si>
    <t>Constant</t>
  </si>
  <si>
    <t>Target Function</t>
  </si>
  <si>
    <r>
      <rPr>
        <b/>
        <sz val="11"/>
        <color theme="0"/>
        <rFont val="Calibri"/>
        <family val="2"/>
      </rPr>
      <t>Δ</t>
    </r>
    <r>
      <rPr>
        <b/>
        <sz val="9.9"/>
        <color theme="0"/>
        <rFont val="Arial"/>
        <family val="2"/>
        <charset val="178"/>
      </rPr>
      <t>3=</t>
    </r>
  </si>
  <si>
    <r>
      <rPr>
        <b/>
        <sz val="11"/>
        <color theme="0"/>
        <rFont val="Calibri"/>
        <family val="2"/>
      </rPr>
      <t>Δ5</t>
    </r>
    <r>
      <rPr>
        <b/>
        <sz val="9.9"/>
        <color theme="0"/>
        <rFont val="Arial"/>
        <family val="2"/>
        <charset val="178"/>
      </rPr>
      <t>=</t>
    </r>
  </si>
  <si>
    <r>
      <rPr>
        <b/>
        <sz val="11"/>
        <color theme="0"/>
        <rFont val="Calibri"/>
        <family val="2"/>
      </rPr>
      <t>Δ</t>
    </r>
    <r>
      <rPr>
        <b/>
        <sz val="9.9"/>
        <color theme="0"/>
        <rFont val="Arial"/>
        <family val="2"/>
        <charset val="178"/>
      </rPr>
      <t>6=</t>
    </r>
  </si>
  <si>
    <t>TRUSS OPTIMIZATION (analysis and design) BY TRAIL AND ERROR SOLUTION</t>
  </si>
  <si>
    <t>A4=</t>
  </si>
  <si>
    <t>A5=</t>
  </si>
  <si>
    <t>A6=</t>
  </si>
  <si>
    <t>A7=</t>
  </si>
  <si>
    <t>A8=</t>
  </si>
  <si>
    <t>A9=</t>
  </si>
  <si>
    <t>A10=</t>
  </si>
  <si>
    <t>q2=</t>
  </si>
  <si>
    <t>q3=</t>
  </si>
  <si>
    <t>q5=</t>
  </si>
  <si>
    <t>q4=</t>
  </si>
  <si>
    <t>q6=</t>
  </si>
  <si>
    <t>q7=</t>
  </si>
  <si>
    <t>q8=</t>
  </si>
  <si>
    <t>q9=</t>
  </si>
  <si>
    <t>q10=</t>
  </si>
  <si>
    <r>
      <rPr>
        <b/>
        <sz val="11"/>
        <color theme="0"/>
        <rFont val="Calibri"/>
        <family val="2"/>
      </rPr>
      <t>Δ</t>
    </r>
    <r>
      <rPr>
        <b/>
        <sz val="9.9"/>
        <color theme="0"/>
        <rFont val="Arial"/>
        <family val="2"/>
        <charset val="178"/>
      </rPr>
      <t>5=</t>
    </r>
  </si>
  <si>
    <r>
      <rPr>
        <b/>
        <sz val="11"/>
        <color theme="0"/>
        <rFont val="Calibri"/>
        <family val="2"/>
      </rPr>
      <t>Δ6</t>
    </r>
    <r>
      <rPr>
        <b/>
        <sz val="9.9"/>
        <color theme="0"/>
        <rFont val="Arial"/>
        <family val="2"/>
        <charset val="178"/>
      </rPr>
      <t>=</t>
    </r>
  </si>
  <si>
    <r>
      <rPr>
        <b/>
        <sz val="11"/>
        <color theme="0"/>
        <rFont val="Calibri"/>
        <family val="2"/>
      </rPr>
      <t>Δ</t>
    </r>
    <r>
      <rPr>
        <b/>
        <sz val="9.9"/>
        <color theme="0"/>
        <rFont val="Arial"/>
        <family val="2"/>
        <charset val="178"/>
      </rPr>
      <t>7=</t>
    </r>
  </si>
  <si>
    <r>
      <rPr>
        <b/>
        <sz val="11"/>
        <color theme="0"/>
        <rFont val="Calibri"/>
        <family val="2"/>
      </rPr>
      <t>Δ</t>
    </r>
    <r>
      <rPr>
        <b/>
        <sz val="9.9"/>
        <color theme="0"/>
        <rFont val="Arial"/>
        <family val="2"/>
        <charset val="178"/>
      </rPr>
      <t>8=</t>
    </r>
  </si>
  <si>
    <r>
      <rPr>
        <b/>
        <sz val="11"/>
        <color theme="0"/>
        <rFont val="Calibri"/>
        <family val="2"/>
      </rPr>
      <t>Δ9</t>
    </r>
    <r>
      <rPr>
        <b/>
        <sz val="9.9"/>
        <color theme="0"/>
        <rFont val="Arial"/>
        <family val="2"/>
        <charset val="178"/>
      </rPr>
      <t>=</t>
    </r>
  </si>
  <si>
    <r>
      <rPr>
        <b/>
        <sz val="11"/>
        <color theme="0"/>
        <rFont val="Calibri"/>
        <family val="2"/>
      </rPr>
      <t>Δ</t>
    </r>
    <r>
      <rPr>
        <b/>
        <sz val="9.9"/>
        <color theme="0"/>
        <rFont val="Arial"/>
        <family val="2"/>
        <charset val="178"/>
      </rPr>
      <t>10=</t>
    </r>
  </si>
  <si>
    <r>
      <rPr>
        <b/>
        <sz val="11"/>
        <color theme="0"/>
        <rFont val="Calibri"/>
        <family val="2"/>
      </rPr>
      <t>Δ11</t>
    </r>
    <r>
      <rPr>
        <b/>
        <sz val="9.9"/>
        <color theme="0"/>
        <rFont val="Arial"/>
        <family val="2"/>
        <charset val="178"/>
      </rPr>
      <t>=</t>
    </r>
  </si>
  <si>
    <r>
      <rPr>
        <b/>
        <sz val="11"/>
        <color theme="0"/>
        <rFont val="Calibri"/>
        <family val="2"/>
      </rPr>
      <t>Δ</t>
    </r>
    <r>
      <rPr>
        <b/>
        <sz val="9.9"/>
        <color theme="0"/>
        <rFont val="Arial"/>
        <family val="2"/>
        <charset val="178"/>
      </rPr>
      <t>12=</t>
    </r>
  </si>
  <si>
    <t>D7</t>
  </si>
  <si>
    <t>D8</t>
  </si>
  <si>
    <t>D9</t>
  </si>
  <si>
    <t>D10</t>
  </si>
  <si>
    <t>D11</t>
  </si>
  <si>
    <t>D12</t>
  </si>
  <si>
    <t>Q3</t>
  </si>
  <si>
    <t>Q4</t>
  </si>
  <si>
    <r>
      <rPr>
        <b/>
        <sz val="11"/>
        <rFont val="Arial"/>
        <family val="2"/>
      </rPr>
      <t>Σ</t>
    </r>
    <r>
      <rPr>
        <b/>
        <sz val="11"/>
        <rFont val="Calibri"/>
        <family val="2"/>
        <scheme val="minor"/>
      </rPr>
      <t>F5=0</t>
    </r>
  </si>
  <si>
    <t>ΣF5=0</t>
  </si>
  <si>
    <t>ΣF6=0</t>
  </si>
  <si>
    <t>ΣF7=0</t>
  </si>
  <si>
    <t>ΣF8=0</t>
  </si>
  <si>
    <t>ΣF9=0</t>
  </si>
  <si>
    <t>ΣF10=0</t>
  </si>
  <si>
    <t>ΣF11=0</t>
  </si>
  <si>
    <t>ΣF12=0</t>
  </si>
  <si>
    <t>ΣF3=0</t>
  </si>
  <si>
    <t>W=0.5[P]{Δ}</t>
  </si>
  <si>
    <t>weight</t>
  </si>
  <si>
    <t>joint-1</t>
  </si>
  <si>
    <t>joint-2</t>
  </si>
  <si>
    <t>joint-3</t>
  </si>
  <si>
    <t>joint-4</t>
  </si>
  <si>
    <t>ΣFx=0</t>
  </si>
  <si>
    <t>ΣFy=0</t>
  </si>
  <si>
    <t>[K]{Δ}-[P]=0</t>
  </si>
  <si>
    <t>{Δ}=[K]^-1*[P]</t>
  </si>
  <si>
    <t>Equilibrium Equation in Joints</t>
  </si>
  <si>
    <t xml:space="preserve">Objective Function
</t>
  </si>
  <si>
    <t>Constrains</t>
  </si>
  <si>
    <t>D3=</t>
  </si>
  <si>
    <t>D4=</t>
  </si>
  <si>
    <t>D5=</t>
  </si>
  <si>
    <t>D6=</t>
  </si>
  <si>
    <t>D7=</t>
  </si>
  <si>
    <t>D8=</t>
  </si>
  <si>
    <t>D9=</t>
  </si>
  <si>
    <t>D11=</t>
  </si>
  <si>
    <t>D12=</t>
  </si>
  <si>
    <t>D13=</t>
  </si>
  <si>
    <t>D14=</t>
  </si>
  <si>
    <t>D15=</t>
  </si>
  <si>
    <t>D16=</t>
  </si>
  <si>
    <t>X</t>
  </si>
  <si>
    <t>D4</t>
  </si>
  <si>
    <t>D13</t>
  </si>
  <si>
    <t>D14</t>
  </si>
  <si>
    <t>D15</t>
  </si>
  <si>
    <t>D16</t>
  </si>
  <si>
    <r>
      <rPr>
        <b/>
        <sz val="11"/>
        <rFont val="Arial"/>
        <family val="2"/>
      </rPr>
      <t>Σ</t>
    </r>
    <r>
      <rPr>
        <b/>
        <sz val="11"/>
        <rFont val="Calibri"/>
        <family val="2"/>
        <scheme val="minor"/>
      </rPr>
      <t>F3=0</t>
    </r>
  </si>
  <si>
    <t>ΣF4=0</t>
  </si>
  <si>
    <t>ΣF13=0</t>
  </si>
  <si>
    <t>ΣF14=0</t>
  </si>
  <si>
    <t>ΣF15=0</t>
  </si>
  <si>
    <t>ΣF16=0</t>
  </si>
  <si>
    <t>Define Scale Factor to show Deformation :</t>
  </si>
  <si>
    <t>reaction</t>
  </si>
  <si>
    <t>1-x</t>
  </si>
  <si>
    <t>1-y</t>
  </si>
  <si>
    <t>5-y</t>
  </si>
  <si>
    <t>q11=</t>
  </si>
  <si>
    <t>q12=</t>
  </si>
  <si>
    <t>q13=</t>
  </si>
  <si>
    <t>Min</t>
  </si>
  <si>
    <t>Max</t>
  </si>
  <si>
    <t>A11=</t>
  </si>
  <si>
    <t>A12=</t>
  </si>
  <si>
    <t>A13=</t>
  </si>
  <si>
    <t>Q9</t>
  </si>
  <si>
    <t>Determinate Pratt Truss 1</t>
  </si>
  <si>
    <t>Indeterminate Pratt Truss</t>
  </si>
  <si>
    <t>TRUSS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</si>
</sst>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35" x14ac:knownFonts="1">
    <font>
      <sz val="11"/>
      <color theme="1"/>
      <name val="Calibri"/>
      <family val="2"/>
      <charset val="178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charset val="178"/>
      <scheme val="minor"/>
    </font>
    <font>
      <b/>
      <sz val="12"/>
      <color theme="1"/>
      <name val="Cambria"/>
      <family val="1"/>
      <scheme val="maj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178"/>
      <scheme val="minor"/>
    </font>
    <font>
      <sz val="10"/>
      <name val="Arial"/>
      <family val="2"/>
    </font>
    <font>
      <b/>
      <sz val="10"/>
      <color theme="3" tint="0.39997558519241921"/>
      <name val="Arial"/>
      <family val="2"/>
    </font>
    <font>
      <sz val="12"/>
      <name val="Arial"/>
      <family val="2"/>
    </font>
    <font>
      <b/>
      <sz val="10"/>
      <color rgb="FF0070C0"/>
      <name val="Arial"/>
      <family val="2"/>
    </font>
    <font>
      <b/>
      <sz val="11"/>
      <color theme="0"/>
      <name val="Arial"/>
      <family val="2"/>
      <charset val="178"/>
    </font>
    <font>
      <b/>
      <sz val="11"/>
      <color theme="0"/>
      <name val="Calibri"/>
      <family val="2"/>
    </font>
    <font>
      <b/>
      <sz val="9.9"/>
      <color theme="0"/>
      <name val="Arial"/>
      <family val="2"/>
      <charset val="178"/>
    </font>
    <font>
      <b/>
      <sz val="11"/>
      <color theme="0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sz val="11"/>
      <color theme="0"/>
      <name val="Calibri"/>
      <family val="2"/>
      <charset val="178"/>
      <scheme val="minor"/>
    </font>
    <font>
      <b/>
      <sz val="11"/>
      <name val="Arial"/>
      <family val="2"/>
    </font>
    <font>
      <b/>
      <sz val="10"/>
      <color rgb="FF0070C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name val="Arial"/>
      <family val="2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charset val="17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DashDot">
        <color indexed="64"/>
      </right>
      <top/>
      <bottom/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DashDot">
        <color rgb="FF0070C0"/>
      </right>
      <top/>
      <bottom/>
      <diagonal/>
    </border>
    <border>
      <left style="medium">
        <color rgb="FF0070C0"/>
      </left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25" fillId="0" borderId="0" applyFont="0" applyFill="0" applyBorder="0" applyAlignment="0" applyProtection="0"/>
  </cellStyleXfs>
  <cellXfs count="27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4" fillId="0" borderId="0" xfId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Border="1"/>
    <xf numFmtId="0" fontId="0" fillId="4" borderId="1" xfId="0" applyFill="1" applyBorder="1" applyAlignment="1" applyProtection="1">
      <alignment horizontal="center" vertical="center"/>
      <protection hidden="1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13" fillId="4" borderId="10" xfId="0" applyFon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 vertical="center"/>
      <protection hidden="1"/>
    </xf>
    <xf numFmtId="0" fontId="0" fillId="4" borderId="11" xfId="0" applyFill="1" applyBorder="1" applyAlignment="1" applyProtection="1">
      <alignment horizontal="center" vertical="center"/>
      <protection hidden="1"/>
    </xf>
    <xf numFmtId="164" fontId="0" fillId="4" borderId="1" xfId="0" applyNumberFormat="1" applyFill="1" applyBorder="1" applyAlignment="1" applyProtection="1">
      <alignment horizontal="center"/>
      <protection hidden="1"/>
    </xf>
    <xf numFmtId="0" fontId="12" fillId="4" borderId="13" xfId="0" applyFont="1" applyFill="1" applyBorder="1" applyAlignment="1" applyProtection="1">
      <alignment horizontal="center" vertical="center"/>
      <protection hidden="1"/>
    </xf>
    <xf numFmtId="0" fontId="0" fillId="4" borderId="14" xfId="0" applyFill="1" applyBorder="1" applyAlignment="1" applyProtection="1">
      <alignment horizontal="center" vertical="center"/>
      <protection hidden="1"/>
    </xf>
    <xf numFmtId="0" fontId="12" fillId="4" borderId="14" xfId="0" applyFont="1" applyFill="1" applyBorder="1" applyAlignment="1" applyProtection="1">
      <alignment horizontal="center" vertical="center"/>
      <protection hidden="1"/>
    </xf>
    <xf numFmtId="0" fontId="0" fillId="4" borderId="15" xfId="0" applyFill="1" applyBorder="1" applyAlignment="1" applyProtection="1">
      <alignment horizontal="center"/>
      <protection hidden="1"/>
    </xf>
    <xf numFmtId="0" fontId="0" fillId="4" borderId="0" xfId="0" applyFill="1" applyAlignment="1" applyProtection="1">
      <alignment horizontal="center"/>
      <protection hidden="1"/>
    </xf>
    <xf numFmtId="0" fontId="0" fillId="4" borderId="0" xfId="0" applyFill="1" applyBorder="1" applyAlignment="1" applyProtection="1">
      <alignment horizontal="center"/>
      <protection hidden="1"/>
    </xf>
    <xf numFmtId="0" fontId="0" fillId="4" borderId="16" xfId="0" applyFill="1" applyBorder="1" applyAlignment="1" applyProtection="1">
      <alignment horizontal="center" vertical="center"/>
      <protection hidden="1"/>
    </xf>
    <xf numFmtId="0" fontId="0" fillId="4" borderId="0" xfId="0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/>
      <protection hidden="1"/>
    </xf>
    <xf numFmtId="0" fontId="0" fillId="4" borderId="0" xfId="0" applyFill="1" applyAlignment="1" applyProtection="1">
      <alignment horizontal="left" vertical="center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4" borderId="18" xfId="0" applyNumberFormat="1" applyFill="1" applyBorder="1" applyAlignment="1" applyProtection="1">
      <alignment horizontal="center" vertical="center"/>
      <protection hidden="1"/>
    </xf>
    <xf numFmtId="0" fontId="0" fillId="4" borderId="16" xfId="0" applyFill="1" applyBorder="1" applyAlignment="1" applyProtection="1">
      <alignment horizontal="center"/>
      <protection hidden="1"/>
    </xf>
    <xf numFmtId="0" fontId="12" fillId="4" borderId="17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14" fillId="4" borderId="16" xfId="0" applyFont="1" applyFill="1" applyBorder="1" applyAlignment="1" applyProtection="1">
      <alignment horizontal="center"/>
      <protection hidden="1"/>
    </xf>
    <xf numFmtId="0" fontId="12" fillId="4" borderId="18" xfId="0" applyFont="1" applyFill="1" applyBorder="1" applyAlignment="1" applyProtection="1">
      <alignment horizontal="center" vertical="center"/>
      <protection hidden="1"/>
    </xf>
    <xf numFmtId="0" fontId="0" fillId="4" borderId="19" xfId="0" applyFill="1" applyBorder="1" applyAlignment="1" applyProtection="1">
      <alignment horizontal="center" vertical="center"/>
      <protection hidden="1"/>
    </xf>
    <xf numFmtId="0" fontId="0" fillId="4" borderId="20" xfId="0" applyFill="1" applyBorder="1" applyAlignment="1" applyProtection="1">
      <alignment horizontal="center" vertical="center"/>
      <protection hidden="1"/>
    </xf>
    <xf numFmtId="0" fontId="0" fillId="4" borderId="21" xfId="0" applyFill="1" applyBorder="1" applyAlignment="1" applyProtection="1">
      <alignment horizontal="center"/>
      <protection hidden="1"/>
    </xf>
    <xf numFmtId="0" fontId="12" fillId="4" borderId="1" xfId="0" applyFont="1" applyFill="1" applyBorder="1" applyAlignment="1" applyProtection="1">
      <alignment horizontal="center" vertical="center"/>
      <protection locked="0"/>
    </xf>
    <xf numFmtId="0" fontId="0" fillId="4" borderId="22" xfId="0" applyFill="1" applyBorder="1" applyAlignment="1" applyProtection="1">
      <alignment horizontal="center" vertical="center"/>
      <protection hidden="1"/>
    </xf>
    <xf numFmtId="0" fontId="0" fillId="0" borderId="17" xfId="0" applyBorder="1"/>
    <xf numFmtId="0" fontId="0" fillId="4" borderId="23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Fill="1" applyBorder="1"/>
    <xf numFmtId="0" fontId="0" fillId="0" borderId="0" xfId="0" applyFill="1" applyBorder="1" applyAlignment="1" applyProtection="1">
      <alignment horizontal="center"/>
      <protection hidden="1"/>
    </xf>
    <xf numFmtId="164" fontId="0" fillId="0" borderId="0" xfId="0" applyNumberFormat="1" applyFill="1" applyBorder="1" applyAlignment="1" applyProtection="1">
      <alignment horizontal="center"/>
      <protection hidden="1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/>
      <protection hidden="1"/>
    </xf>
    <xf numFmtId="0" fontId="0" fillId="0" borderId="18" xfId="0" applyFill="1" applyBorder="1" applyAlignment="1" applyProtection="1">
      <alignment horizontal="center" vertical="center"/>
      <protection hidden="1"/>
    </xf>
    <xf numFmtId="0" fontId="0" fillId="0" borderId="18" xfId="0" applyFill="1" applyBorder="1" applyAlignment="1" applyProtection="1">
      <alignment horizontal="center"/>
      <protection hidden="1"/>
    </xf>
    <xf numFmtId="0" fontId="0" fillId="4" borderId="27" xfId="0" applyFill="1" applyBorder="1" applyAlignment="1" applyProtection="1">
      <alignment horizontal="center" vertical="center"/>
      <protection hidden="1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5" fillId="4" borderId="10" xfId="0" applyFont="1" applyFill="1" applyBorder="1" applyAlignment="1" applyProtection="1">
      <alignment horizontal="center" vertical="center"/>
      <protection locked="0"/>
    </xf>
    <xf numFmtId="0" fontId="0" fillId="4" borderId="12" xfId="0" applyFill="1" applyBorder="1" applyAlignment="1" applyProtection="1">
      <alignment horizontal="center" vertical="center"/>
      <protection hidden="1"/>
    </xf>
    <xf numFmtId="164" fontId="0" fillId="4" borderId="12" xfId="0" applyNumberFormat="1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0" fillId="4" borderId="30" xfId="0" applyFill="1" applyBorder="1" applyAlignment="1" applyProtection="1">
      <alignment horizontal="center" vertical="center"/>
      <protection hidden="1"/>
    </xf>
    <xf numFmtId="0" fontId="15" fillId="4" borderId="30" xfId="0" applyFont="1" applyFill="1" applyBorder="1" applyAlignment="1" applyProtection="1">
      <alignment horizontal="center" vertical="center"/>
      <protection locked="0"/>
    </xf>
    <xf numFmtId="0" fontId="15" fillId="4" borderId="31" xfId="0" applyFont="1" applyFill="1" applyBorder="1" applyAlignment="1" applyProtection="1">
      <alignment horizontal="center" vertical="center"/>
      <protection locked="0"/>
    </xf>
    <xf numFmtId="164" fontId="0" fillId="4" borderId="32" xfId="0" applyNumberFormat="1" applyFill="1" applyBorder="1" applyAlignment="1" applyProtection="1">
      <alignment horizontal="center" vertical="center"/>
      <protection hidden="1"/>
    </xf>
    <xf numFmtId="164" fontId="0" fillId="4" borderId="33" xfId="0" applyNumberFormat="1" applyFill="1" applyBorder="1" applyAlignment="1" applyProtection="1">
      <alignment horizontal="center" vertical="center"/>
      <protection hidden="1"/>
    </xf>
    <xf numFmtId="164" fontId="0" fillId="4" borderId="30" xfId="0" applyNumberFormat="1" applyFill="1" applyBorder="1" applyAlignment="1" applyProtection="1">
      <alignment horizontal="center"/>
      <protection hidden="1"/>
    </xf>
    <xf numFmtId="0" fontId="13" fillId="4" borderId="30" xfId="0" applyFont="1" applyFill="1" applyBorder="1" applyAlignment="1" applyProtection="1">
      <alignment horizontal="center" vertical="center"/>
      <protection locked="0"/>
    </xf>
    <xf numFmtId="0" fontId="13" fillId="4" borderId="31" xfId="0" applyFont="1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hidden="1"/>
    </xf>
    <xf numFmtId="0" fontId="0" fillId="4" borderId="33" xfId="0" applyFill="1" applyBorder="1" applyAlignment="1" applyProtection="1">
      <alignment horizontal="center" vertical="center"/>
      <protection hidden="1"/>
    </xf>
    <xf numFmtId="0" fontId="3" fillId="0" borderId="3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4" borderId="31" xfId="0" applyFill="1" applyBorder="1" applyAlignment="1" applyProtection="1">
      <alignment vertical="center"/>
      <protection hidden="1"/>
    </xf>
    <xf numFmtId="0" fontId="0" fillId="4" borderId="11" xfId="0" applyNumberFormat="1" applyFill="1" applyBorder="1" applyAlignment="1" applyProtection="1">
      <alignment horizontal="center" vertical="center"/>
      <protection hidden="1"/>
    </xf>
    <xf numFmtId="0" fontId="10" fillId="3" borderId="24" xfId="0" applyFont="1" applyFill="1" applyBorder="1" applyAlignment="1" applyProtection="1">
      <alignment horizontal="center" vertical="center"/>
      <protection hidden="1"/>
    </xf>
    <xf numFmtId="0" fontId="20" fillId="3" borderId="28" xfId="0" applyFont="1" applyFill="1" applyBorder="1" applyAlignment="1" applyProtection="1">
      <alignment horizontal="center" vertical="center"/>
      <protection hidden="1"/>
    </xf>
    <xf numFmtId="0" fontId="10" fillId="3" borderId="3" xfId="0" applyFont="1" applyFill="1" applyBorder="1" applyAlignment="1" applyProtection="1">
      <alignment horizontal="center" vertical="center"/>
      <protection hidden="1"/>
    </xf>
    <xf numFmtId="0" fontId="21" fillId="3" borderId="3" xfId="0" applyFont="1" applyFill="1" applyBorder="1" applyAlignment="1" applyProtection="1">
      <alignment horizontal="center" vertical="center"/>
      <protection hidden="1"/>
    </xf>
    <xf numFmtId="0" fontId="10" fillId="3" borderId="25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center"/>
      <protection hidden="1"/>
    </xf>
    <xf numFmtId="0" fontId="10" fillId="3" borderId="32" xfId="0" applyFont="1" applyFill="1" applyBorder="1" applyAlignment="1" applyProtection="1">
      <alignment horizontal="center"/>
      <protection hidden="1"/>
    </xf>
    <xf numFmtId="0" fontId="21" fillId="3" borderId="28" xfId="0" applyFont="1" applyFill="1" applyBorder="1" applyAlignment="1" applyProtection="1">
      <alignment horizontal="center" vertical="center"/>
      <protection hidden="1"/>
    </xf>
    <xf numFmtId="0" fontId="21" fillId="3" borderId="4" xfId="0" applyFont="1" applyFill="1" applyBorder="1" applyAlignment="1" applyProtection="1">
      <alignment horizontal="center" vertical="center"/>
      <protection locked="0"/>
    </xf>
    <xf numFmtId="0" fontId="21" fillId="3" borderId="7" xfId="0" applyFont="1" applyFill="1" applyBorder="1" applyAlignment="1" applyProtection="1">
      <alignment horizontal="center"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10" fillId="3" borderId="10" xfId="0" applyFont="1" applyFill="1" applyBorder="1" applyAlignment="1" applyProtection="1">
      <alignment horizontal="center"/>
      <protection hidden="1"/>
    </xf>
    <xf numFmtId="0" fontId="11" fillId="3" borderId="34" xfId="0" applyFont="1" applyFill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19" fillId="3" borderId="34" xfId="0" applyFont="1" applyFill="1" applyBorder="1" applyAlignment="1">
      <alignment horizontal="center" vertical="center"/>
    </xf>
    <xf numFmtId="0" fontId="10" fillId="3" borderId="28" xfId="0" applyFont="1" applyFill="1" applyBorder="1" applyAlignment="1" applyProtection="1">
      <alignment horizontal="center"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164" fontId="12" fillId="4" borderId="1" xfId="0" applyNumberFormat="1" applyFont="1" applyFill="1" applyBorder="1" applyAlignment="1" applyProtection="1">
      <alignment horizontal="center" vertical="center"/>
      <protection locked="0"/>
    </xf>
    <xf numFmtId="164" fontId="12" fillId="4" borderId="30" xfId="0" applyNumberFormat="1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 vertical="center"/>
      <protection hidden="1"/>
    </xf>
    <xf numFmtId="0" fontId="10" fillId="3" borderId="1" xfId="0" applyFont="1" applyFill="1" applyBorder="1" applyAlignment="1" applyProtection="1">
      <alignment horizontal="center"/>
      <protection hidden="1"/>
    </xf>
    <xf numFmtId="0" fontId="0" fillId="4" borderId="1" xfId="0" applyFill="1" applyBorder="1" applyAlignment="1" applyProtection="1">
      <alignment vertical="center"/>
      <protection hidden="1"/>
    </xf>
    <xf numFmtId="0" fontId="21" fillId="3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vertical="center"/>
      <protection hidden="1"/>
    </xf>
    <xf numFmtId="0" fontId="0" fillId="4" borderId="1" xfId="0" applyNumberFormat="1" applyFill="1" applyBorder="1" applyAlignment="1" applyProtection="1">
      <alignment horizontal="center"/>
      <protection hidden="1"/>
    </xf>
    <xf numFmtId="0" fontId="0" fillId="4" borderId="30" xfId="0" applyNumberFormat="1" applyFill="1" applyBorder="1" applyAlignment="1" applyProtection="1">
      <alignment horizontal="center"/>
      <protection hidden="1"/>
    </xf>
    <xf numFmtId="0" fontId="12" fillId="0" borderId="13" xfId="0" applyFont="1" applyFill="1" applyBorder="1" applyAlignment="1" applyProtection="1">
      <alignment horizontal="center" vertical="center"/>
      <protection hidden="1"/>
    </xf>
    <xf numFmtId="0" fontId="0" fillId="0" borderId="14" xfId="0" applyFill="1" applyBorder="1" applyAlignment="1" applyProtection="1">
      <alignment horizontal="center" vertical="center"/>
      <protection hidden="1"/>
    </xf>
    <xf numFmtId="0" fontId="12" fillId="0" borderId="14" xfId="0" applyFont="1" applyFill="1" applyBorder="1" applyAlignment="1" applyProtection="1">
      <alignment horizontal="center" vertical="center"/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/>
      <protection hidden="1"/>
    </xf>
    <xf numFmtId="0" fontId="0" fillId="0" borderId="0" xfId="0" applyFill="1"/>
    <xf numFmtId="0" fontId="0" fillId="0" borderId="16" xfId="0" applyFill="1" applyBorder="1" applyAlignment="1" applyProtection="1">
      <alignment horizontal="center" vertical="center"/>
      <protection hidden="1"/>
    </xf>
    <xf numFmtId="0" fontId="0" fillId="0" borderId="17" xfId="0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left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18" xfId="0" applyNumberFormat="1" applyFill="1" applyBorder="1" applyAlignment="1" applyProtection="1">
      <alignment horizontal="center" vertical="center"/>
      <protection hidden="1"/>
    </xf>
    <xf numFmtId="0" fontId="0" fillId="0" borderId="16" xfId="0" applyFill="1" applyBorder="1" applyAlignment="1" applyProtection="1">
      <alignment horizontal="center"/>
      <protection hidden="1"/>
    </xf>
    <xf numFmtId="0" fontId="12" fillId="0" borderId="17" xfId="0" applyFont="1" applyFill="1" applyBorder="1" applyAlignment="1" applyProtection="1">
      <alignment horizontal="center" vertical="center"/>
      <protection hidden="1"/>
    </xf>
    <xf numFmtId="0" fontId="0" fillId="0" borderId="17" xfId="0" applyFill="1" applyBorder="1" applyAlignment="1" applyProtection="1">
      <alignment horizontal="center" vertical="center"/>
      <protection hidden="1"/>
    </xf>
    <xf numFmtId="0" fontId="14" fillId="0" borderId="16" xfId="0" applyFont="1" applyFill="1" applyBorder="1" applyAlignment="1" applyProtection="1">
      <alignment horizontal="center"/>
      <protection hidden="1"/>
    </xf>
    <xf numFmtId="0" fontId="12" fillId="0" borderId="18" xfId="0" applyFont="1" applyFill="1" applyBorder="1" applyAlignment="1" applyProtection="1">
      <alignment horizontal="center" vertical="center"/>
      <protection hidden="1"/>
    </xf>
    <xf numFmtId="0" fontId="0" fillId="0" borderId="19" xfId="0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1" xfId="0" applyFill="1" applyBorder="1" applyAlignment="1" applyProtection="1">
      <alignment horizont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0" borderId="23" xfId="0" applyFill="1" applyBorder="1" applyAlignment="1" applyProtection="1">
      <alignment horizontal="center" vertical="center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0" borderId="18" xfId="0" applyBorder="1"/>
    <xf numFmtId="164" fontId="0" fillId="4" borderId="1" xfId="0" applyNumberFormat="1" applyFill="1" applyBorder="1" applyAlignment="1" applyProtection="1">
      <alignment horizontal="center" vertical="center"/>
      <protection hidden="1"/>
    </xf>
    <xf numFmtId="164" fontId="0" fillId="4" borderId="11" xfId="0" applyNumberFormat="1" applyFill="1" applyBorder="1" applyAlignment="1" applyProtection="1">
      <alignment horizontal="center" vertical="center"/>
      <protection hidden="1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/>
    <xf numFmtId="0" fontId="2" fillId="0" borderId="40" xfId="0" applyFont="1" applyBorder="1"/>
    <xf numFmtId="164" fontId="22" fillId="0" borderId="0" xfId="0" applyNumberFormat="1" applyFont="1"/>
    <xf numFmtId="0" fontId="8" fillId="0" borderId="34" xfId="0" applyFont="1" applyBorder="1" applyAlignment="1">
      <alignment horizontal="center" vertical="center"/>
    </xf>
    <xf numFmtId="164" fontId="0" fillId="4" borderId="30" xfId="0" applyNumberFormat="1" applyFill="1" applyBorder="1" applyAlignment="1" applyProtection="1">
      <alignment horizontal="center" vertical="center"/>
      <protection hidden="1"/>
    </xf>
    <xf numFmtId="164" fontId="0" fillId="0" borderId="18" xfId="0" applyNumberFormat="1" applyFill="1" applyBorder="1" applyAlignment="1" applyProtection="1">
      <alignment horizontal="center" vertical="center"/>
      <protection hidden="1"/>
    </xf>
    <xf numFmtId="0" fontId="2" fillId="0" borderId="34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center" vertical="center"/>
      <protection hidden="1"/>
    </xf>
    <xf numFmtId="0" fontId="22" fillId="3" borderId="17" xfId="0" applyFont="1" applyFill="1" applyBorder="1" applyAlignment="1" applyProtection="1">
      <alignment horizontal="center" vertical="center"/>
      <protection hidden="1"/>
    </xf>
    <xf numFmtId="0" fontId="24" fillId="0" borderId="30" xfId="0" applyFont="1" applyBorder="1" applyAlignment="1">
      <alignment horizontal="center" vertical="center"/>
    </xf>
    <xf numFmtId="9" fontId="0" fillId="0" borderId="0" xfId="2" applyFont="1" applyAlignment="1">
      <alignment horizontal="center"/>
    </xf>
    <xf numFmtId="9" fontId="0" fillId="0" borderId="0" xfId="2" applyFont="1" applyBorder="1" applyAlignment="1">
      <alignment horizontal="center" vertical="center"/>
    </xf>
    <xf numFmtId="165" fontId="2" fillId="0" borderId="34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hidden="1"/>
    </xf>
    <xf numFmtId="0" fontId="8" fillId="0" borderId="34" xfId="0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28" fillId="4" borderId="0" xfId="0" applyFont="1" applyFill="1" applyAlignment="1" applyProtection="1">
      <alignment horizontal="center"/>
      <protection hidden="1"/>
    </xf>
    <xf numFmtId="0" fontId="12" fillId="4" borderId="0" xfId="0" applyFont="1" applyFill="1" applyAlignment="1" applyProtection="1">
      <alignment horizontal="center"/>
      <protection hidden="1"/>
    </xf>
    <xf numFmtId="0" fontId="12" fillId="4" borderId="20" xfId="0" applyFont="1" applyFill="1" applyBorder="1" applyAlignment="1" applyProtection="1">
      <alignment horizontal="center"/>
      <protection hidden="1"/>
    </xf>
    <xf numFmtId="0" fontId="0" fillId="4" borderId="20" xfId="0" applyFill="1" applyBorder="1" applyAlignment="1" applyProtection="1">
      <alignment horizontal="center"/>
      <protection hidden="1"/>
    </xf>
    <xf numFmtId="0" fontId="28" fillId="4" borderId="20" xfId="0" applyFont="1" applyFill="1" applyBorder="1" applyAlignment="1" applyProtection="1">
      <alignment horizontal="center" vertical="center"/>
      <protection hidden="1"/>
    </xf>
    <xf numFmtId="0" fontId="0" fillId="4" borderId="10" xfId="0" applyFill="1" applyBorder="1" applyAlignment="1" applyProtection="1">
      <alignment horizontal="center" vertical="center"/>
      <protection hidden="1"/>
    </xf>
    <xf numFmtId="0" fontId="0" fillId="4" borderId="1" xfId="0" applyFill="1" applyBorder="1" applyAlignment="1" applyProtection="1">
      <alignment horizontal="center"/>
      <protection hidden="1"/>
    </xf>
    <xf numFmtId="0" fontId="15" fillId="4" borderId="33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Alignment="1" applyProtection="1">
      <alignment horizontal="center"/>
      <protection hidden="1"/>
    </xf>
    <xf numFmtId="0" fontId="13" fillId="4" borderId="14" xfId="0" applyFont="1" applyFill="1" applyBorder="1" applyAlignment="1" applyProtection="1">
      <alignment horizontal="center" vertical="center"/>
      <protection hidden="1"/>
    </xf>
    <xf numFmtId="0" fontId="0" fillId="4" borderId="48" xfId="0" applyFill="1" applyBorder="1" applyAlignment="1" applyProtection="1">
      <alignment horizontal="center" vertical="center"/>
      <protection hidden="1"/>
    </xf>
    <xf numFmtId="0" fontId="0" fillId="4" borderId="48" xfId="0" applyFill="1" applyBorder="1" applyAlignment="1" applyProtection="1">
      <alignment horizontal="center"/>
      <protection hidden="1"/>
    </xf>
    <xf numFmtId="0" fontId="0" fillId="4" borderId="0" xfId="0" applyNumberFormat="1" applyFill="1" applyAlignment="1" applyProtection="1">
      <alignment horizontal="center"/>
      <protection hidden="1"/>
    </xf>
    <xf numFmtId="0" fontId="12" fillId="4" borderId="13" xfId="0" applyFont="1" applyFill="1" applyBorder="1" applyAlignment="1" applyProtection="1">
      <alignment horizontal="center"/>
      <protection hidden="1"/>
    </xf>
    <xf numFmtId="0" fontId="12" fillId="4" borderId="14" xfId="0" applyFont="1" applyFill="1" applyBorder="1" applyAlignment="1" applyProtection="1">
      <alignment horizontal="center"/>
      <protection hidden="1"/>
    </xf>
    <xf numFmtId="0" fontId="0" fillId="4" borderId="0" xfId="0" applyFill="1" applyBorder="1" applyAlignment="1" applyProtection="1">
      <alignment horizontal="left" vertical="center"/>
      <protection hidden="1"/>
    </xf>
    <xf numFmtId="0" fontId="0" fillId="4" borderId="41" xfId="0" applyFill="1" applyBorder="1" applyAlignment="1" applyProtection="1">
      <alignment horizontal="center" vertical="center"/>
      <protection hidden="1"/>
    </xf>
    <xf numFmtId="0" fontId="0" fillId="4" borderId="18" xfId="0" applyFill="1" applyBorder="1" applyAlignment="1" applyProtection="1">
      <alignment horizontal="left" vertical="center"/>
      <protection hidden="1"/>
    </xf>
    <xf numFmtId="0" fontId="0" fillId="4" borderId="18" xfId="0" applyFill="1" applyBorder="1" applyAlignment="1" applyProtection="1">
      <alignment horizontal="center"/>
      <protection hidden="1"/>
    </xf>
    <xf numFmtId="0" fontId="0" fillId="4" borderId="46" xfId="0" applyFill="1" applyBorder="1" applyAlignment="1" applyProtection="1">
      <alignment horizontal="center" vertical="center"/>
      <protection hidden="1"/>
    </xf>
    <xf numFmtId="0" fontId="0" fillId="4" borderId="42" xfId="0" applyFill="1" applyBorder="1" applyAlignment="1" applyProtection="1">
      <alignment horizontal="center" vertical="center"/>
      <protection hidden="1"/>
    </xf>
    <xf numFmtId="0" fontId="0" fillId="6" borderId="17" xfId="0" applyFill="1" applyBorder="1" applyAlignment="1" applyProtection="1">
      <alignment horizontal="center"/>
      <protection hidden="1"/>
    </xf>
    <xf numFmtId="0" fontId="10" fillId="3" borderId="3" xfId="0" applyFont="1" applyFill="1" applyBorder="1" applyAlignment="1" applyProtection="1">
      <alignment horizontal="center" vertical="center"/>
      <protection hidden="1"/>
    </xf>
    <xf numFmtId="0" fontId="8" fillId="0" borderId="34" xfId="0" applyFont="1" applyFill="1" applyBorder="1" applyAlignment="1">
      <alignment horizontal="center" vertical="center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10" fillId="3" borderId="34" xfId="0" applyFont="1" applyFill="1" applyBorder="1" applyAlignment="1" applyProtection="1">
      <alignment horizontal="center"/>
      <protection hidden="1"/>
    </xf>
    <xf numFmtId="0" fontId="8" fillId="7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34" xfId="0" applyFont="1" applyFill="1" applyBorder="1" applyAlignment="1" applyProtection="1">
      <alignment horizontal="center"/>
      <protection hidden="1"/>
    </xf>
    <xf numFmtId="0" fontId="6" fillId="4" borderId="34" xfId="0" applyFont="1" applyFill="1" applyBorder="1" applyAlignment="1" applyProtection="1">
      <alignment horizontal="center"/>
      <protection hidden="1"/>
    </xf>
    <xf numFmtId="0" fontId="3" fillId="4" borderId="45" xfId="0" applyFont="1" applyFill="1" applyBorder="1" applyAlignment="1" applyProtection="1">
      <alignment horizontal="center"/>
      <protection hidden="1"/>
    </xf>
    <xf numFmtId="0" fontId="20" fillId="3" borderId="7" xfId="0" applyFont="1" applyFill="1" applyBorder="1" applyAlignment="1" applyProtection="1">
      <alignment horizontal="center" vertical="center"/>
      <protection hidden="1"/>
    </xf>
    <xf numFmtId="0" fontId="21" fillId="3" borderId="25" xfId="0" applyFont="1" applyFill="1" applyBorder="1" applyAlignment="1" applyProtection="1">
      <alignment horizontal="center"/>
      <protection hidden="1"/>
    </xf>
    <xf numFmtId="0" fontId="21" fillId="3" borderId="12" xfId="0" applyFont="1" applyFill="1" applyBorder="1" applyAlignment="1" applyProtection="1">
      <alignment horizontal="center" vertical="center"/>
      <protection hidden="1"/>
    </xf>
    <xf numFmtId="0" fontId="21" fillId="3" borderId="32" xfId="0" applyFont="1" applyFill="1" applyBorder="1" applyAlignment="1" applyProtection="1">
      <alignment horizontal="center" vertical="center"/>
      <protection hidden="1"/>
    </xf>
    <xf numFmtId="0" fontId="0" fillId="5" borderId="27" xfId="0" applyFill="1" applyBorder="1" applyAlignment="1" applyProtection="1">
      <alignment horizontal="center" vertical="center"/>
      <protection hidden="1"/>
    </xf>
    <xf numFmtId="0" fontId="0" fillId="5" borderId="29" xfId="0" applyFill="1" applyBorder="1" applyAlignment="1" applyProtection="1">
      <alignment horizontal="center" vertical="center"/>
      <protection hidden="1"/>
    </xf>
    <xf numFmtId="0" fontId="0" fillId="5" borderId="30" xfId="0" applyFill="1" applyBorder="1" applyAlignment="1" applyProtection="1">
      <alignment horizontal="center" vertical="center"/>
      <protection hidden="1"/>
    </xf>
    <xf numFmtId="0" fontId="0" fillId="6" borderId="10" xfId="0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 applyProtection="1">
      <alignment horizontal="center" vertical="center"/>
      <protection hidden="1"/>
    </xf>
    <xf numFmtId="0" fontId="0" fillId="6" borderId="31" xfId="0" applyFill="1" applyBorder="1" applyAlignment="1" applyProtection="1">
      <alignment horizontal="center" vertical="center"/>
      <protection hidden="1"/>
    </xf>
    <xf numFmtId="0" fontId="0" fillId="6" borderId="30" xfId="0" applyFill="1" applyBorder="1" applyAlignment="1" applyProtection="1">
      <alignment horizontal="center" vertical="center"/>
      <protection hidden="1"/>
    </xf>
    <xf numFmtId="9" fontId="0" fillId="4" borderId="0" xfId="2" applyFont="1" applyFill="1" applyAlignment="1">
      <alignment horizontal="center" vertical="center"/>
    </xf>
    <xf numFmtId="0" fontId="29" fillId="4" borderId="1" xfId="0" applyFont="1" applyFill="1" applyBorder="1" applyAlignment="1" applyProtection="1">
      <alignment horizontal="center" vertical="center"/>
      <protection locked="0"/>
    </xf>
    <xf numFmtId="0" fontId="26" fillId="4" borderId="0" xfId="0" applyFont="1" applyFill="1" applyAlignment="1" applyProtection="1">
      <alignment horizontal="center"/>
      <protection hidden="1"/>
    </xf>
    <xf numFmtId="0" fontId="27" fillId="4" borderId="0" xfId="0" applyFont="1" applyFill="1" applyAlignment="1" applyProtection="1">
      <alignment horizontal="center"/>
      <protection hidden="1"/>
    </xf>
    <xf numFmtId="0" fontId="8" fillId="0" borderId="34" xfId="0" applyFont="1" applyFill="1" applyBorder="1" applyAlignment="1">
      <alignment horizontal="center" vertical="center"/>
    </xf>
    <xf numFmtId="0" fontId="10" fillId="3" borderId="3" xfId="0" applyFont="1" applyFill="1" applyBorder="1" applyAlignment="1" applyProtection="1">
      <alignment horizontal="center"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10" fillId="3" borderId="10" xfId="0" applyFont="1" applyFill="1" applyBorder="1" applyAlignment="1" applyProtection="1">
      <alignment horizontal="center"/>
      <protection hidden="1"/>
    </xf>
    <xf numFmtId="0" fontId="10" fillId="3" borderId="34" xfId="0" applyFont="1" applyFill="1" applyBorder="1" applyAlignment="1">
      <alignment horizontal="center" vertical="center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hidden="1"/>
    </xf>
    <xf numFmtId="0" fontId="0" fillId="4" borderId="10" xfId="0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right"/>
      <protection hidden="1"/>
    </xf>
    <xf numFmtId="0" fontId="31" fillId="4" borderId="18" xfId="0" applyFont="1" applyFill="1" applyBorder="1" applyAlignment="1" applyProtection="1">
      <alignment horizontal="center"/>
      <protection hidden="1"/>
    </xf>
    <xf numFmtId="0" fontId="32" fillId="4" borderId="18" xfId="0" applyFont="1" applyFill="1" applyBorder="1" applyAlignment="1" applyProtection="1">
      <alignment horizontal="center" vertical="center"/>
      <protection hidden="1"/>
    </xf>
    <xf numFmtId="0" fontId="32" fillId="4" borderId="18" xfId="0" applyFont="1" applyFill="1" applyBorder="1" applyAlignment="1" applyProtection="1">
      <alignment horizontal="center"/>
      <protection hidden="1"/>
    </xf>
    <xf numFmtId="0" fontId="0" fillId="4" borderId="0" xfId="0" applyNumberFormat="1" applyFill="1" applyBorder="1" applyAlignment="1" applyProtection="1">
      <alignment horizontal="center" vertical="center"/>
      <protection hidden="1"/>
    </xf>
    <xf numFmtId="0" fontId="0" fillId="4" borderId="49" xfId="0" applyFill="1" applyBorder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6" fillId="0" borderId="34" xfId="0" applyFont="1" applyFill="1" applyBorder="1" applyAlignment="1" applyProtection="1">
      <alignment horizontal="center"/>
      <protection hidden="1"/>
    </xf>
    <xf numFmtId="0" fontId="3" fillId="0" borderId="45" xfId="0" applyFont="1" applyFill="1" applyBorder="1" applyAlignment="1" applyProtection="1">
      <alignment horizontal="center"/>
      <protection hidden="1"/>
    </xf>
    <xf numFmtId="0" fontId="3" fillId="0" borderId="34" xfId="0" applyFont="1" applyFill="1" applyBorder="1" applyAlignment="1" applyProtection="1">
      <alignment horizont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10" fillId="3" borderId="10" xfId="0" applyFont="1" applyFill="1" applyBorder="1" applyAlignment="1" applyProtection="1">
      <alignment horizontal="center"/>
      <protection hidden="1"/>
    </xf>
    <xf numFmtId="0" fontId="8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18" xfId="0" applyFont="1" applyBorder="1" applyAlignment="1">
      <alignment horizontal="center"/>
    </xf>
    <xf numFmtId="2" fontId="0" fillId="4" borderId="11" xfId="0" applyNumberFormat="1" applyFill="1" applyBorder="1" applyAlignment="1" applyProtection="1">
      <alignment horizontal="center" vertical="center"/>
      <protection hidden="1"/>
    </xf>
    <xf numFmtId="2" fontId="0" fillId="4" borderId="33" xfId="0" applyNumberFormat="1" applyFill="1" applyBorder="1" applyAlignment="1" applyProtection="1">
      <alignment horizontal="center" vertical="center"/>
      <protection hidden="1"/>
    </xf>
    <xf numFmtId="0" fontId="8" fillId="0" borderId="0" xfId="0" applyFont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0" fillId="3" borderId="3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center" vertical="center"/>
      <protection hidden="1"/>
    </xf>
    <xf numFmtId="0" fontId="10" fillId="3" borderId="28" xfId="0" applyFont="1" applyFill="1" applyBorder="1" applyAlignment="1" applyProtection="1">
      <alignment horizontal="center"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10" fillId="3" borderId="10" xfId="0" applyFont="1" applyFill="1" applyBorder="1" applyAlignment="1" applyProtection="1">
      <alignment horizontal="center" vertical="center"/>
      <protection hidden="1"/>
    </xf>
    <xf numFmtId="0" fontId="20" fillId="3" borderId="26" xfId="0" applyFont="1" applyFill="1" applyBorder="1" applyAlignment="1" applyProtection="1">
      <alignment horizontal="center" vertical="center"/>
      <protection hidden="1"/>
    </xf>
    <xf numFmtId="0" fontId="20" fillId="3" borderId="11" xfId="0" applyFont="1" applyFill="1" applyBorder="1" applyAlignment="1" applyProtection="1">
      <alignment horizontal="center" vertical="center"/>
      <protection hidden="1"/>
    </xf>
    <xf numFmtId="0" fontId="8" fillId="0" borderId="34" xfId="0" applyFont="1" applyBorder="1" applyAlignment="1">
      <alignment horizontal="center"/>
    </xf>
    <xf numFmtId="0" fontId="10" fillId="3" borderId="6" xfId="0" applyFont="1" applyFill="1" applyBorder="1" applyAlignment="1" applyProtection="1">
      <alignment horizontal="center" vertical="center"/>
      <protection hidden="1"/>
    </xf>
    <xf numFmtId="0" fontId="10" fillId="3" borderId="8" xfId="0" applyFont="1" applyFill="1" applyBorder="1" applyAlignment="1" applyProtection="1">
      <alignment horizontal="center" vertical="center"/>
      <protection hidden="1"/>
    </xf>
    <xf numFmtId="0" fontId="21" fillId="3" borderId="2" xfId="0" applyFont="1" applyFill="1" applyBorder="1" applyAlignment="1" applyProtection="1">
      <alignment horizontal="center" textRotation="20"/>
      <protection hidden="1"/>
    </xf>
    <xf numFmtId="0" fontId="21" fillId="3" borderId="9" xfId="0" applyFont="1" applyFill="1" applyBorder="1" applyAlignment="1" applyProtection="1">
      <alignment horizontal="center" textRotation="20"/>
      <protection hidden="1"/>
    </xf>
    <xf numFmtId="0" fontId="10" fillId="3" borderId="4" xfId="0" applyFont="1" applyFill="1" applyBorder="1" applyAlignment="1" applyProtection="1">
      <alignment horizontal="center"/>
      <protection hidden="1"/>
    </xf>
    <xf numFmtId="0" fontId="10" fillId="3" borderId="5" xfId="0" applyFont="1" applyFill="1" applyBorder="1" applyAlignment="1" applyProtection="1">
      <alignment horizontal="center"/>
      <protection hidden="1"/>
    </xf>
    <xf numFmtId="0" fontId="2" fillId="0" borderId="5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4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top" wrapText="1"/>
    </xf>
    <xf numFmtId="0" fontId="10" fillId="3" borderId="51" xfId="0" applyFont="1" applyFill="1" applyBorder="1" applyAlignment="1">
      <alignment horizontal="center" vertical="top"/>
    </xf>
    <xf numFmtId="0" fontId="10" fillId="3" borderId="34" xfId="0" applyFont="1" applyFill="1" applyBorder="1" applyAlignment="1">
      <alignment horizontal="center"/>
    </xf>
    <xf numFmtId="0" fontId="33" fillId="8" borderId="0" xfId="0" applyFont="1" applyFill="1" applyAlignment="1">
      <alignment horizontal="center" vertical="center"/>
    </xf>
    <xf numFmtId="0" fontId="21" fillId="3" borderId="25" xfId="0" applyFont="1" applyFill="1" applyBorder="1" applyAlignment="1" applyProtection="1">
      <alignment horizontal="center" textRotation="20"/>
      <protection hidden="1"/>
    </xf>
    <xf numFmtId="0" fontId="21" fillId="3" borderId="12" xfId="0" applyFont="1" applyFill="1" applyBorder="1" applyAlignment="1" applyProtection="1">
      <alignment horizontal="center" textRotation="20"/>
      <protection hidden="1"/>
    </xf>
    <xf numFmtId="0" fontId="10" fillId="3" borderId="28" xfId="0" applyFont="1" applyFill="1" applyBorder="1" applyAlignment="1" applyProtection="1">
      <alignment horizontal="center"/>
      <protection hidden="1"/>
    </xf>
    <xf numFmtId="0" fontId="8" fillId="0" borderId="51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30" fillId="3" borderId="34" xfId="0" applyFont="1" applyFill="1" applyBorder="1" applyAlignment="1">
      <alignment horizontal="center" vertical="center"/>
    </xf>
    <xf numFmtId="0" fontId="34" fillId="8" borderId="50" xfId="0" applyFont="1" applyFill="1" applyBorder="1" applyAlignment="1" applyProtection="1">
      <alignment horizontal="center" vertical="center"/>
      <protection hidden="1"/>
    </xf>
    <xf numFmtId="0" fontId="34" fillId="8" borderId="0" xfId="0" applyFont="1" applyFill="1" applyAlignment="1" applyProtection="1">
      <alignment horizontal="center" vertical="center"/>
      <protection hidden="1"/>
    </xf>
    <xf numFmtId="0" fontId="20" fillId="3" borderId="47" xfId="0" applyFont="1" applyFill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>
      <alignment horizontal="center" vertical="center"/>
    </xf>
  </cellXfs>
  <cellStyles count="3">
    <cellStyle name="Normal" xfId="0" builtinId="0"/>
    <cellStyle name="Percent" xfId="2" builtinId="5"/>
    <cellStyle name="RowLevel_1" xfId="1" builtinId="1" iLevel="0"/>
  </cellStyles>
  <dxfs count="139">
    <dxf>
      <font>
        <color theme="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311031461527011E-2"/>
          <c:y val="2.435387464460223E-2"/>
          <c:w val="0.96961664250212665"/>
          <c:h val="0.95638686391011751"/>
        </c:manualLayout>
      </c:layout>
      <c:scatterChart>
        <c:scatterStyle val="smoothMarker"/>
        <c:varyColors val="0"/>
        <c:ser>
          <c:idx val="13"/>
          <c:order val="14"/>
          <c:tx>
            <c:v>Roller-Support</c:v>
          </c:tx>
          <c:spPr>
            <a:ln w="38100" cap="flat" cmpd="sng" algn="ctr">
              <a:solidFill>
                <a:schemeClr val="accent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'02-Truss'!$BA$3:$BA$15</c:f>
              <c:numCache>
                <c:formatCode>General</c:formatCode>
                <c:ptCount val="13"/>
                <c:pt idx="0">
                  <c:v>2006.8571428571429</c:v>
                </c:pt>
                <c:pt idx="1">
                  <c:v>2011.8571428571429</c:v>
                </c:pt>
                <c:pt idx="2">
                  <c:v>2016.8571428571429</c:v>
                </c:pt>
                <c:pt idx="3">
                  <c:v>2019.3571428571429</c:v>
                </c:pt>
                <c:pt idx="4">
                  <c:v>2016.8571428571429</c:v>
                </c:pt>
                <c:pt idx="5">
                  <c:v>2011.8571428571429</c:v>
                </c:pt>
                <c:pt idx="6">
                  <c:v>2006.8571428571429</c:v>
                </c:pt>
                <c:pt idx="7">
                  <c:v>2001.8571428571429</c:v>
                </c:pt>
                <c:pt idx="8">
                  <c:v>1996.8571428571429</c:v>
                </c:pt>
                <c:pt idx="9">
                  <c:v>1994.3571428571429</c:v>
                </c:pt>
                <c:pt idx="10">
                  <c:v>1996.8571428571429</c:v>
                </c:pt>
                <c:pt idx="11">
                  <c:v>2001.8571428571429</c:v>
                </c:pt>
                <c:pt idx="12">
                  <c:v>2006.8571428571429</c:v>
                </c:pt>
              </c:numCache>
            </c:numRef>
          </c:xVal>
          <c:yVal>
            <c:numRef>
              <c:f>'02-Truss'!$BB$3:$BB$15</c:f>
              <c:numCache>
                <c:formatCode>General</c:formatCode>
                <c:ptCount val="13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-12.5</c:v>
                </c:pt>
                <c:pt idx="4">
                  <c:v>-15</c:v>
                </c:pt>
                <c:pt idx="5">
                  <c:v>-20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-12.5</c:v>
                </c:pt>
                <c:pt idx="10">
                  <c:v>-10</c:v>
                </c:pt>
                <c:pt idx="11">
                  <c:v>-5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89696"/>
        <c:axId val="389290088"/>
      </c:scatterChart>
      <c:scatterChart>
        <c:scatterStyle val="lineMarker"/>
        <c:varyColors val="0"/>
        <c:ser>
          <c:idx val="14"/>
          <c:order val="0"/>
          <c:tx>
            <c:v>Pin-support</c:v>
          </c:tx>
          <c:marker>
            <c:symbol val="none"/>
          </c:marker>
          <c:xVal>
            <c:numRef>
              <c:f>'02-Truss'!$AY$12:$AY$15</c:f>
              <c:numCache>
                <c:formatCode>General</c:formatCode>
                <c:ptCount val="4"/>
                <c:pt idx="0">
                  <c:v>-25</c:v>
                </c:pt>
                <c:pt idx="1">
                  <c:v>0</c:v>
                </c:pt>
                <c:pt idx="2">
                  <c:v>25</c:v>
                </c:pt>
                <c:pt idx="3">
                  <c:v>-25</c:v>
                </c:pt>
              </c:numCache>
            </c:numRef>
          </c:xVal>
          <c:yVal>
            <c:numRef>
              <c:f>'02-Truss'!$AZ$12:$AZ$15</c:f>
              <c:numCache>
                <c:formatCode>General</c:formatCode>
                <c:ptCount val="4"/>
                <c:pt idx="0">
                  <c:v>-25</c:v>
                </c:pt>
                <c:pt idx="1">
                  <c:v>0</c:v>
                </c:pt>
                <c:pt idx="2">
                  <c:v>-25</c:v>
                </c:pt>
                <c:pt idx="3">
                  <c:v>-25</c:v>
                </c:pt>
              </c:numCache>
            </c:numRef>
          </c:yVal>
          <c:smooth val="0"/>
        </c:ser>
        <c:ser>
          <c:idx val="0"/>
          <c:order val="1"/>
          <c:tx>
            <c:v>m1</c:v>
          </c:tx>
          <c:marker>
            <c:symbol val="circle"/>
            <c:size val="9"/>
          </c:marker>
          <c:xVal>
            <c:numRef>
              <c:f>'02-Truss'!$AS$9:$AS$10</c:f>
              <c:numCache>
                <c:formatCode>General</c:formatCode>
                <c:ptCount val="2"/>
                <c:pt idx="0">
                  <c:v>0</c:v>
                </c:pt>
                <c:pt idx="1">
                  <c:v>501.71428571428572</c:v>
                </c:pt>
              </c:numCache>
            </c:numRef>
          </c:xVal>
          <c:yVal>
            <c:numRef>
              <c:f>'02-Truss'!$AT$9:$AT$10</c:f>
              <c:numCache>
                <c:formatCode>General</c:formatCode>
                <c:ptCount val="2"/>
                <c:pt idx="0">
                  <c:v>0</c:v>
                </c:pt>
                <c:pt idx="1">
                  <c:v>-13.882020924450945</c:v>
                </c:pt>
              </c:numCache>
            </c:numRef>
          </c:yVal>
          <c:smooth val="0"/>
        </c:ser>
        <c:ser>
          <c:idx val="1"/>
          <c:order val="2"/>
          <c:tx>
            <c:v>m2</c:v>
          </c:tx>
          <c:xVal>
            <c:numRef>
              <c:f>'02-Truss'!$AS$11:$AS$12</c:f>
              <c:numCache>
                <c:formatCode>General</c:formatCode>
                <c:ptCount val="2"/>
                <c:pt idx="0">
                  <c:v>501.71428571428572</c:v>
                </c:pt>
                <c:pt idx="1">
                  <c:v>1003.4285714285714</c:v>
                </c:pt>
              </c:numCache>
            </c:numRef>
          </c:xVal>
          <c:yVal>
            <c:numRef>
              <c:f>'02-Truss'!$AT$11:$AT$12</c:f>
              <c:numCache>
                <c:formatCode>General</c:formatCode>
                <c:ptCount val="2"/>
                <c:pt idx="0">
                  <c:v>-13.882020924450945</c:v>
                </c:pt>
                <c:pt idx="1">
                  <c:v>-10.623089537426358</c:v>
                </c:pt>
              </c:numCache>
            </c:numRef>
          </c:yVal>
          <c:smooth val="0"/>
        </c:ser>
        <c:ser>
          <c:idx val="2"/>
          <c:order val="3"/>
          <c:tx>
            <c:v>m3</c:v>
          </c:tx>
          <c:xVal>
            <c:numRef>
              <c:f>'02-Truss'!$AS$13:$AS$14</c:f>
              <c:numCache>
                <c:formatCode>General</c:formatCode>
                <c:ptCount val="2"/>
                <c:pt idx="0">
                  <c:v>1003.4285714285714</c:v>
                </c:pt>
                <c:pt idx="1">
                  <c:v>1505.1428571428571</c:v>
                </c:pt>
              </c:numCache>
            </c:numRef>
          </c:xVal>
          <c:yVal>
            <c:numRef>
              <c:f>'02-Truss'!$AT$13:$AT$14</c:f>
              <c:numCache>
                <c:formatCode>General</c:formatCode>
                <c:ptCount val="2"/>
                <c:pt idx="0">
                  <c:v>-10.623089537426358</c:v>
                </c:pt>
                <c:pt idx="1">
                  <c:v>-13.450862675798181</c:v>
                </c:pt>
              </c:numCache>
            </c:numRef>
          </c:yVal>
          <c:smooth val="0"/>
        </c:ser>
        <c:ser>
          <c:idx val="3"/>
          <c:order val="4"/>
          <c:tx>
            <c:v>m4</c:v>
          </c:tx>
          <c:marker>
            <c:symbol val="circle"/>
            <c:size val="9"/>
          </c:marker>
          <c:xVal>
            <c:numRef>
              <c:f>'02-Truss'!$AS$15:$AS$16</c:f>
              <c:numCache>
                <c:formatCode>General</c:formatCode>
                <c:ptCount val="2"/>
                <c:pt idx="0">
                  <c:v>1505.1428571428571</c:v>
                </c:pt>
                <c:pt idx="1">
                  <c:v>2006.8571428571429</c:v>
                </c:pt>
              </c:numCache>
            </c:numRef>
          </c:xVal>
          <c:yVal>
            <c:numRef>
              <c:f>'02-Truss'!$AT$15:$AT$16</c:f>
              <c:numCache>
                <c:formatCode>General</c:formatCode>
                <c:ptCount val="2"/>
                <c:pt idx="0">
                  <c:v>-13.450862675798181</c:v>
                </c:pt>
                <c:pt idx="1">
                  <c:v>0</c:v>
                </c:pt>
              </c:numCache>
            </c:numRef>
          </c:yVal>
          <c:smooth val="0"/>
        </c:ser>
        <c:ser>
          <c:idx val="4"/>
          <c:order val="5"/>
          <c:tx>
            <c:v>m5</c:v>
          </c:tx>
          <c:marker>
            <c:symbol val="circle"/>
            <c:size val="9"/>
          </c:marker>
          <c:xVal>
            <c:numRef>
              <c:f>'02-Truss'!$AU$9:$AU$10</c:f>
              <c:numCache>
                <c:formatCode>General</c:formatCode>
                <c:ptCount val="2"/>
                <c:pt idx="0">
                  <c:v>504.55945181574612</c:v>
                </c:pt>
                <c:pt idx="1">
                  <c:v>1006.2737375300318</c:v>
                </c:pt>
              </c:numCache>
            </c:numRef>
          </c:xVal>
          <c:yVal>
            <c:numRef>
              <c:f>'02-Truss'!$AV$9:$AV$10</c:f>
              <c:numCache>
                <c:formatCode>General</c:formatCode>
                <c:ptCount val="2"/>
                <c:pt idx="0">
                  <c:v>86.117027099829414</c:v>
                </c:pt>
                <c:pt idx="1">
                  <c:v>89.380244201157041</c:v>
                </c:pt>
              </c:numCache>
            </c:numRef>
          </c:yVal>
          <c:smooth val="0"/>
        </c:ser>
        <c:ser>
          <c:idx val="5"/>
          <c:order val="6"/>
          <c:tx>
            <c:v>m6</c:v>
          </c:tx>
          <c:xVal>
            <c:numRef>
              <c:f>'02-Truss'!$AU$11:$AU$12</c:f>
              <c:numCache>
                <c:formatCode>General</c:formatCode>
                <c:ptCount val="2"/>
                <c:pt idx="0">
                  <c:v>1006.2737375300318</c:v>
                </c:pt>
                <c:pt idx="1">
                  <c:v>1504.5594518157461</c:v>
                </c:pt>
              </c:numCache>
            </c:numRef>
          </c:xVal>
          <c:yVal>
            <c:numRef>
              <c:f>'02-Truss'!$AV$11:$AV$12</c:f>
              <c:numCache>
                <c:formatCode>General</c:formatCode>
                <c:ptCount val="2"/>
                <c:pt idx="0">
                  <c:v>89.380244201157041</c:v>
                </c:pt>
                <c:pt idx="1">
                  <c:v>86.547232967525943</c:v>
                </c:pt>
              </c:numCache>
            </c:numRef>
          </c:yVal>
          <c:smooth val="0"/>
        </c:ser>
        <c:ser>
          <c:idx val="6"/>
          <c:order val="7"/>
          <c:tx>
            <c:v>m7</c:v>
          </c:tx>
          <c:marker>
            <c:symbol val="circle"/>
            <c:size val="9"/>
          </c:marker>
          <c:xVal>
            <c:numRef>
              <c:f>'02-Truss'!$AU$13:$AU$14</c:f>
              <c:numCache>
                <c:formatCode>General</c:formatCode>
                <c:ptCount val="2"/>
                <c:pt idx="0">
                  <c:v>501.71428571428572</c:v>
                </c:pt>
                <c:pt idx="1">
                  <c:v>504.55945181574612</c:v>
                </c:pt>
              </c:numCache>
            </c:numRef>
          </c:xVal>
          <c:yVal>
            <c:numRef>
              <c:f>'02-Truss'!$AV$13:$AV$14</c:f>
              <c:numCache>
                <c:formatCode>General</c:formatCode>
                <c:ptCount val="2"/>
                <c:pt idx="0">
                  <c:v>-13.882020924450945</c:v>
                </c:pt>
                <c:pt idx="1">
                  <c:v>86.117027099829414</c:v>
                </c:pt>
              </c:numCache>
            </c:numRef>
          </c:yVal>
          <c:smooth val="0"/>
        </c:ser>
        <c:ser>
          <c:idx val="7"/>
          <c:order val="8"/>
          <c:tx>
            <c:v>m8</c:v>
          </c:tx>
          <c:xVal>
            <c:numRef>
              <c:f>'02-Truss'!$AU$15:$AU$16</c:f>
              <c:numCache>
                <c:formatCode>General</c:formatCode>
                <c:ptCount val="2"/>
                <c:pt idx="0">
                  <c:v>1003.4285714285714</c:v>
                </c:pt>
                <c:pt idx="1">
                  <c:v>1006.2737375300318</c:v>
                </c:pt>
              </c:numCache>
            </c:numRef>
          </c:xVal>
          <c:yVal>
            <c:numRef>
              <c:f>'02-Truss'!$AV$15:$AV$16</c:f>
              <c:numCache>
                <c:formatCode>General</c:formatCode>
                <c:ptCount val="2"/>
                <c:pt idx="0">
                  <c:v>-10.623089537426358</c:v>
                </c:pt>
                <c:pt idx="1">
                  <c:v>89.380244201157041</c:v>
                </c:pt>
              </c:numCache>
            </c:numRef>
          </c:yVal>
          <c:smooth val="0"/>
        </c:ser>
        <c:ser>
          <c:idx val="8"/>
          <c:order val="9"/>
          <c:tx>
            <c:v>m9</c:v>
          </c:tx>
          <c:marker>
            <c:symbol val="circle"/>
            <c:size val="9"/>
          </c:marker>
          <c:xVal>
            <c:numRef>
              <c:f>'02-Truss'!$AW$9:$AW$10</c:f>
              <c:numCache>
                <c:formatCode>General</c:formatCode>
                <c:ptCount val="2"/>
                <c:pt idx="0">
                  <c:v>1505.1428571428571</c:v>
                </c:pt>
                <c:pt idx="1">
                  <c:v>1504.5594518157461</c:v>
                </c:pt>
              </c:numCache>
            </c:numRef>
          </c:xVal>
          <c:yVal>
            <c:numRef>
              <c:f>'02-Truss'!$AX$9:$AX$10</c:f>
              <c:numCache>
                <c:formatCode>General</c:formatCode>
                <c:ptCount val="2"/>
                <c:pt idx="0">
                  <c:v>-13.450862675798181</c:v>
                </c:pt>
                <c:pt idx="1">
                  <c:v>86.547232967525943</c:v>
                </c:pt>
              </c:numCache>
            </c:numRef>
          </c:yVal>
          <c:smooth val="0"/>
        </c:ser>
        <c:ser>
          <c:idx val="9"/>
          <c:order val="10"/>
          <c:tx>
            <c:v>m10</c:v>
          </c:tx>
          <c:marker>
            <c:symbol val="circle"/>
            <c:size val="9"/>
          </c:marker>
          <c:xVal>
            <c:numRef>
              <c:f>'02-Truss'!$AW$11:$AW$12</c:f>
              <c:numCache>
                <c:formatCode>General</c:formatCode>
                <c:ptCount val="2"/>
                <c:pt idx="0">
                  <c:v>0</c:v>
                </c:pt>
                <c:pt idx="1">
                  <c:v>504.55945181574612</c:v>
                </c:pt>
              </c:numCache>
            </c:numRef>
          </c:xVal>
          <c:yVal>
            <c:numRef>
              <c:f>'02-Truss'!$AX$11:$AX$12</c:f>
              <c:numCache>
                <c:formatCode>General</c:formatCode>
                <c:ptCount val="2"/>
                <c:pt idx="0">
                  <c:v>0</c:v>
                </c:pt>
                <c:pt idx="1">
                  <c:v>86.117027099829414</c:v>
                </c:pt>
              </c:numCache>
            </c:numRef>
          </c:yVal>
          <c:smooth val="0"/>
        </c:ser>
        <c:ser>
          <c:idx val="10"/>
          <c:order val="11"/>
          <c:tx>
            <c:v>m11</c:v>
          </c:tx>
          <c:marker>
            <c:symbol val="circle"/>
            <c:size val="9"/>
          </c:marker>
          <c:xVal>
            <c:numRef>
              <c:f>'02-Truss'!$AW$13:$AW$14</c:f>
              <c:numCache>
                <c:formatCode>General</c:formatCode>
                <c:ptCount val="2"/>
                <c:pt idx="0">
                  <c:v>504.55945181574612</c:v>
                </c:pt>
                <c:pt idx="1">
                  <c:v>1003.4285714285714</c:v>
                </c:pt>
              </c:numCache>
            </c:numRef>
          </c:xVal>
          <c:yVal>
            <c:numRef>
              <c:f>'02-Truss'!$AX$13:$AX$14</c:f>
              <c:numCache>
                <c:formatCode>General</c:formatCode>
                <c:ptCount val="2"/>
                <c:pt idx="0">
                  <c:v>86.117027099829414</c:v>
                </c:pt>
                <c:pt idx="1">
                  <c:v>-10.623089537426358</c:v>
                </c:pt>
              </c:numCache>
            </c:numRef>
          </c:yVal>
          <c:smooth val="0"/>
        </c:ser>
        <c:ser>
          <c:idx val="11"/>
          <c:order val="12"/>
          <c:tx>
            <c:v>m12</c:v>
          </c:tx>
          <c:marker>
            <c:symbol val="circle"/>
            <c:size val="9"/>
          </c:marker>
          <c:xVal>
            <c:numRef>
              <c:f>'02-Truss'!$AW$15:$AW$16</c:f>
              <c:numCache>
                <c:formatCode>General</c:formatCode>
                <c:ptCount val="2"/>
                <c:pt idx="0">
                  <c:v>1003.4285714285714</c:v>
                </c:pt>
                <c:pt idx="1">
                  <c:v>1504.5594518157461</c:v>
                </c:pt>
              </c:numCache>
            </c:numRef>
          </c:xVal>
          <c:yVal>
            <c:numRef>
              <c:f>'02-Truss'!$AX$15:$AX$16</c:f>
              <c:numCache>
                <c:formatCode>General</c:formatCode>
                <c:ptCount val="2"/>
                <c:pt idx="0">
                  <c:v>-10.623089537426358</c:v>
                </c:pt>
                <c:pt idx="1">
                  <c:v>86.547232967525943</c:v>
                </c:pt>
              </c:numCache>
            </c:numRef>
          </c:yVal>
          <c:smooth val="0"/>
        </c:ser>
        <c:ser>
          <c:idx val="12"/>
          <c:order val="13"/>
          <c:tx>
            <c:v>m13</c:v>
          </c:tx>
          <c:marker>
            <c:symbol val="circle"/>
            <c:size val="9"/>
          </c:marker>
          <c:xVal>
            <c:numRef>
              <c:f>'02-Truss'!$AY$9:$AY$10</c:f>
              <c:numCache>
                <c:formatCode>General</c:formatCode>
                <c:ptCount val="2"/>
                <c:pt idx="0">
                  <c:v>1504.5594518157461</c:v>
                </c:pt>
                <c:pt idx="1">
                  <c:v>2006.8571428571429</c:v>
                </c:pt>
              </c:numCache>
            </c:numRef>
          </c:xVal>
          <c:yVal>
            <c:numRef>
              <c:f>'02-Truss'!$AZ$9:$AZ$10</c:f>
              <c:numCache>
                <c:formatCode>General</c:formatCode>
                <c:ptCount val="2"/>
                <c:pt idx="0">
                  <c:v>86.547232967525943</c:v>
                </c:pt>
                <c:pt idx="1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v>line under Roller Support</c:v>
          </c:tx>
          <c:spPr>
            <a:ln w="38100" cap="flat" cmpd="sng" algn="ctr">
              <a:solidFill>
                <a:schemeClr val="accent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'02-Truss'!$BA$16:$BA$18</c:f>
              <c:numCache>
                <c:formatCode>General</c:formatCode>
                <c:ptCount val="3"/>
                <c:pt idx="0">
                  <c:v>1981.8571428571429</c:v>
                </c:pt>
                <c:pt idx="1">
                  <c:v>2006.8571428571429</c:v>
                </c:pt>
                <c:pt idx="2">
                  <c:v>2031.8571428571429</c:v>
                </c:pt>
              </c:numCache>
            </c:numRef>
          </c:xVal>
          <c:yVal>
            <c:numRef>
              <c:f>'02-Truss'!$BB$16:$BB$18</c:f>
              <c:numCache>
                <c:formatCode>General</c:formatCode>
                <c:ptCount val="3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89696"/>
        <c:axId val="389290088"/>
      </c:scatterChart>
      <c:valAx>
        <c:axId val="389289696"/>
        <c:scaling>
          <c:orientation val="minMax"/>
          <c:min val="-100"/>
        </c:scaling>
        <c:delete val="0"/>
        <c:axPos val="b"/>
        <c:numFmt formatCode="General" sourceLinked="1"/>
        <c:majorTickMark val="none"/>
        <c:minorTickMark val="none"/>
        <c:tickLblPos val="nextTo"/>
        <c:crossAx val="389290088"/>
        <c:crosses val="autoZero"/>
        <c:crossBetween val="midCat"/>
      </c:valAx>
      <c:valAx>
        <c:axId val="389290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389289696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311031461527011E-2"/>
          <c:y val="2.435387464460223E-2"/>
          <c:w val="0.96961664250212665"/>
          <c:h val="0.95638686391011751"/>
        </c:manualLayout>
      </c:layout>
      <c:scatterChart>
        <c:scatterStyle val="lineMarker"/>
        <c:varyColors val="0"/>
        <c:ser>
          <c:idx val="14"/>
          <c:order val="0"/>
          <c:tx>
            <c:v>Pin-support</c:v>
          </c:tx>
          <c:marker>
            <c:symbol val="none"/>
          </c:marker>
          <c:xVal>
            <c:numRef>
              <c:f>'03-Truss'!$AY$12:$AY$15</c:f>
              <c:numCache>
                <c:formatCode>General</c:formatCode>
                <c:ptCount val="4"/>
                <c:pt idx="0">
                  <c:v>-25</c:v>
                </c:pt>
                <c:pt idx="1">
                  <c:v>0</c:v>
                </c:pt>
                <c:pt idx="2">
                  <c:v>25</c:v>
                </c:pt>
                <c:pt idx="3">
                  <c:v>-25</c:v>
                </c:pt>
              </c:numCache>
            </c:numRef>
          </c:xVal>
          <c:yVal>
            <c:numRef>
              <c:f>'03-Truss'!$AZ$12:$AZ$15</c:f>
              <c:numCache>
                <c:formatCode>General</c:formatCode>
                <c:ptCount val="4"/>
                <c:pt idx="0">
                  <c:v>-25</c:v>
                </c:pt>
                <c:pt idx="1">
                  <c:v>0</c:v>
                </c:pt>
                <c:pt idx="2">
                  <c:v>-25</c:v>
                </c:pt>
                <c:pt idx="3">
                  <c:v>-25</c:v>
                </c:pt>
              </c:numCache>
            </c:numRef>
          </c:yVal>
          <c:smooth val="0"/>
        </c:ser>
        <c:ser>
          <c:idx val="0"/>
          <c:order val="1"/>
          <c:tx>
            <c:v>m1</c:v>
          </c:tx>
          <c:marker>
            <c:symbol val="circle"/>
            <c:size val="9"/>
          </c:marker>
          <c:xVal>
            <c:numRef>
              <c:f>'03-Truss'!$AS$9:$AS$10</c:f>
              <c:numCache>
                <c:formatCode>General</c:formatCode>
                <c:ptCount val="2"/>
                <c:pt idx="0">
                  <c:v>0</c:v>
                </c:pt>
                <c:pt idx="1">
                  <c:v>501.71428571428572</c:v>
                </c:pt>
              </c:numCache>
            </c:numRef>
          </c:xVal>
          <c:yVal>
            <c:numRef>
              <c:f>'03-Truss'!$AT$9:$AT$10</c:f>
              <c:numCache>
                <c:formatCode>General</c:formatCode>
                <c:ptCount val="2"/>
                <c:pt idx="0">
                  <c:v>0</c:v>
                </c:pt>
                <c:pt idx="1">
                  <c:v>-6.8319556039946727</c:v>
                </c:pt>
              </c:numCache>
            </c:numRef>
          </c:yVal>
          <c:smooth val="0"/>
        </c:ser>
        <c:ser>
          <c:idx val="1"/>
          <c:order val="2"/>
          <c:tx>
            <c:v>m2</c:v>
          </c:tx>
          <c:xVal>
            <c:numRef>
              <c:f>'03-Truss'!$AS$11:$AS$12</c:f>
              <c:numCache>
                <c:formatCode>General</c:formatCode>
                <c:ptCount val="2"/>
                <c:pt idx="0">
                  <c:v>501.71428571428572</c:v>
                </c:pt>
                <c:pt idx="1">
                  <c:v>1003.4285714286963</c:v>
                </c:pt>
              </c:numCache>
            </c:numRef>
          </c:xVal>
          <c:yVal>
            <c:numRef>
              <c:f>'03-Truss'!$AT$11:$AT$12</c:f>
              <c:numCache>
                <c:formatCode>General</c:formatCode>
                <c:ptCount val="2"/>
                <c:pt idx="0">
                  <c:v>-6.8319556039946727</c:v>
                </c:pt>
                <c:pt idx="1">
                  <c:v>3.4765649831110208</c:v>
                </c:pt>
              </c:numCache>
            </c:numRef>
          </c:yVal>
          <c:smooth val="0"/>
        </c:ser>
        <c:ser>
          <c:idx val="2"/>
          <c:order val="3"/>
          <c:tx>
            <c:v>m3</c:v>
          </c:tx>
          <c:xVal>
            <c:numRef>
              <c:f>'03-Truss'!$AS$13:$AS$14</c:f>
              <c:numCache>
                <c:formatCode>General</c:formatCode>
                <c:ptCount val="2"/>
                <c:pt idx="0">
                  <c:v>1003.4285714286963</c:v>
                </c:pt>
                <c:pt idx="1">
                  <c:v>1501.7142857142858</c:v>
                </c:pt>
              </c:numCache>
            </c:numRef>
          </c:xVal>
          <c:yVal>
            <c:numRef>
              <c:f>'03-Truss'!$AT$13:$AT$14</c:f>
              <c:numCache>
                <c:formatCode>General</c:formatCode>
                <c:ptCount val="2"/>
                <c:pt idx="0">
                  <c:v>3.4765649831110208</c:v>
                </c:pt>
                <c:pt idx="1">
                  <c:v>13.788418903550042</c:v>
                </c:pt>
              </c:numCache>
            </c:numRef>
          </c:yVal>
          <c:smooth val="0"/>
        </c:ser>
        <c:ser>
          <c:idx val="3"/>
          <c:order val="4"/>
          <c:tx>
            <c:v>m4</c:v>
          </c:tx>
          <c:marker>
            <c:symbol val="circle"/>
            <c:size val="9"/>
          </c:marker>
          <c:xVal>
            <c:numRef>
              <c:f>'03-Truss'!$AS$15:$AS$16</c:f>
              <c:numCache>
                <c:formatCode>General</c:formatCode>
                <c:ptCount val="2"/>
                <c:pt idx="0">
                  <c:v>1501.7142857142858</c:v>
                </c:pt>
                <c:pt idx="1">
                  <c:v>2003.1494863588941</c:v>
                </c:pt>
              </c:numCache>
            </c:numRef>
          </c:xVal>
          <c:yVal>
            <c:numRef>
              <c:f>'03-Truss'!$AT$15:$AT$16</c:f>
              <c:numCache>
                <c:formatCode>General</c:formatCode>
                <c:ptCount val="2"/>
                <c:pt idx="0">
                  <c:v>13.788418903550042</c:v>
                </c:pt>
                <c:pt idx="1">
                  <c:v>0</c:v>
                </c:pt>
              </c:numCache>
            </c:numRef>
          </c:yVal>
          <c:smooth val="0"/>
        </c:ser>
        <c:ser>
          <c:idx val="4"/>
          <c:order val="5"/>
          <c:tx>
            <c:v>m5</c:v>
          </c:tx>
          <c:marker>
            <c:symbol val="circle"/>
            <c:size val="9"/>
          </c:marker>
          <c:xVal>
            <c:numRef>
              <c:f>'03-Truss'!$AU$9:$AU$10</c:f>
              <c:numCache>
                <c:formatCode>General</c:formatCode>
                <c:ptCount val="2"/>
                <c:pt idx="0">
                  <c:v>493.16685391981486</c:v>
                </c:pt>
                <c:pt idx="1">
                  <c:v>1003.4798983164444</c:v>
                </c:pt>
              </c:numCache>
            </c:numRef>
          </c:xVal>
          <c:yVal>
            <c:numRef>
              <c:f>'03-Truss'!$AV$9:$AV$10</c:f>
              <c:numCache>
                <c:formatCode>General</c:formatCode>
                <c:ptCount val="2"/>
                <c:pt idx="0">
                  <c:v>104.86377207317989</c:v>
                </c:pt>
                <c:pt idx="1">
                  <c:v>103.14948635889418</c:v>
                </c:pt>
              </c:numCache>
            </c:numRef>
          </c:yVal>
          <c:smooth val="0"/>
        </c:ser>
        <c:ser>
          <c:idx val="5"/>
          <c:order val="6"/>
          <c:tx>
            <c:v>m6</c:v>
          </c:tx>
          <c:xVal>
            <c:numRef>
              <c:f>'03-Truss'!$AU$11:$AU$12</c:f>
              <c:numCache>
                <c:formatCode>General</c:formatCode>
                <c:ptCount val="2"/>
                <c:pt idx="0">
                  <c:v>1003.4798983164444</c:v>
                </c:pt>
                <c:pt idx="1">
                  <c:v>1513.7862760464072</c:v>
                </c:pt>
              </c:numCache>
            </c:numRef>
          </c:xVal>
          <c:yVal>
            <c:numRef>
              <c:f>'03-Truss'!$AV$11:$AV$12</c:f>
              <c:numCache>
                <c:formatCode>General</c:formatCode>
                <c:ptCount val="2"/>
                <c:pt idx="0">
                  <c:v>103.14948635889418</c:v>
                </c:pt>
                <c:pt idx="1">
                  <c:v>100</c:v>
                </c:pt>
              </c:numCache>
            </c:numRef>
          </c:yVal>
          <c:smooth val="0"/>
        </c:ser>
        <c:ser>
          <c:idx val="6"/>
          <c:order val="7"/>
          <c:tx>
            <c:v>m7</c:v>
          </c:tx>
          <c:marker>
            <c:symbol val="circle"/>
            <c:size val="9"/>
          </c:marker>
          <c:xVal>
            <c:numRef>
              <c:f>'03-Truss'!$AU$13:$AU$14</c:f>
              <c:numCache>
                <c:formatCode>General</c:formatCode>
                <c:ptCount val="2"/>
                <c:pt idx="0">
                  <c:v>501.71428571428572</c:v>
                </c:pt>
                <c:pt idx="1">
                  <c:v>493.16685391981486</c:v>
                </c:pt>
              </c:numCache>
            </c:numRef>
          </c:xVal>
          <c:yVal>
            <c:numRef>
              <c:f>'03-Truss'!$AV$13:$AV$14</c:f>
              <c:numCache>
                <c:formatCode>General</c:formatCode>
                <c:ptCount val="2"/>
                <c:pt idx="0">
                  <c:v>-6.8319556039946727</c:v>
                </c:pt>
                <c:pt idx="1">
                  <c:v>104.86377207317989</c:v>
                </c:pt>
              </c:numCache>
            </c:numRef>
          </c:yVal>
          <c:smooth val="0"/>
        </c:ser>
        <c:ser>
          <c:idx val="7"/>
          <c:order val="8"/>
          <c:tx>
            <c:v>m8</c:v>
          </c:tx>
          <c:xVal>
            <c:numRef>
              <c:f>'03-Truss'!$AU$15:$AU$16</c:f>
              <c:numCache>
                <c:formatCode>General</c:formatCode>
                <c:ptCount val="2"/>
                <c:pt idx="0">
                  <c:v>1003.4285714286963</c:v>
                </c:pt>
                <c:pt idx="1">
                  <c:v>1003.4798983164444</c:v>
                </c:pt>
              </c:numCache>
            </c:numRef>
          </c:xVal>
          <c:yVal>
            <c:numRef>
              <c:f>'03-Truss'!$AV$15:$AV$16</c:f>
              <c:numCache>
                <c:formatCode>General</c:formatCode>
                <c:ptCount val="2"/>
                <c:pt idx="0">
                  <c:v>3.4765649831110208</c:v>
                </c:pt>
                <c:pt idx="1">
                  <c:v>103.14948635889418</c:v>
                </c:pt>
              </c:numCache>
            </c:numRef>
          </c:yVal>
          <c:smooth val="0"/>
        </c:ser>
        <c:ser>
          <c:idx val="8"/>
          <c:order val="9"/>
          <c:tx>
            <c:v>m9</c:v>
          </c:tx>
          <c:marker>
            <c:symbol val="circle"/>
            <c:size val="9"/>
          </c:marker>
          <c:xVal>
            <c:numRef>
              <c:f>'03-Truss'!$AW$9:$AW$10</c:f>
              <c:numCache>
                <c:formatCode>General</c:formatCode>
                <c:ptCount val="2"/>
                <c:pt idx="0">
                  <c:v>1501.7142857142858</c:v>
                </c:pt>
                <c:pt idx="1">
                  <c:v>1513.7862760464072</c:v>
                </c:pt>
              </c:numCache>
            </c:numRef>
          </c:xVal>
          <c:yVal>
            <c:numRef>
              <c:f>'03-Truss'!$AX$9:$AX$10</c:f>
              <c:numCache>
                <c:formatCode>General</c:formatCode>
                <c:ptCount val="2"/>
                <c:pt idx="0">
                  <c:v>13.788418903550042</c:v>
                </c:pt>
                <c:pt idx="1">
                  <c:v>100</c:v>
                </c:pt>
              </c:numCache>
            </c:numRef>
          </c:yVal>
          <c:smooth val="0"/>
        </c:ser>
        <c:ser>
          <c:idx val="9"/>
          <c:order val="10"/>
          <c:tx>
            <c:v>m10</c:v>
          </c:tx>
          <c:marker>
            <c:symbol val="circle"/>
            <c:size val="9"/>
          </c:marker>
          <c:xVal>
            <c:numRef>
              <c:f>'03-Truss'!$AW$11:$AW$12</c:f>
              <c:numCache>
                <c:formatCode>General</c:formatCode>
                <c:ptCount val="2"/>
                <c:pt idx="0">
                  <c:v>0</c:v>
                </c:pt>
                <c:pt idx="1">
                  <c:v>493.16685391981486</c:v>
                </c:pt>
              </c:numCache>
            </c:numRef>
          </c:xVal>
          <c:yVal>
            <c:numRef>
              <c:f>'03-Truss'!$AX$11:$AX$12</c:f>
              <c:numCache>
                <c:formatCode>General</c:formatCode>
                <c:ptCount val="2"/>
                <c:pt idx="0">
                  <c:v>0</c:v>
                </c:pt>
                <c:pt idx="1">
                  <c:v>104.86377207317989</c:v>
                </c:pt>
              </c:numCache>
            </c:numRef>
          </c:yVal>
          <c:smooth val="0"/>
        </c:ser>
        <c:ser>
          <c:idx val="10"/>
          <c:order val="11"/>
          <c:tx>
            <c:v>m11</c:v>
          </c:tx>
          <c:marker>
            <c:symbol val="circle"/>
            <c:size val="9"/>
          </c:marker>
          <c:xVal>
            <c:numRef>
              <c:f>'03-Truss'!$AW$13:$AW$14</c:f>
              <c:numCache>
                <c:formatCode>General</c:formatCode>
                <c:ptCount val="2"/>
                <c:pt idx="0">
                  <c:v>493.16685391981486</c:v>
                </c:pt>
                <c:pt idx="1">
                  <c:v>1003.4285714286963</c:v>
                </c:pt>
              </c:numCache>
            </c:numRef>
          </c:xVal>
          <c:yVal>
            <c:numRef>
              <c:f>'03-Truss'!$AX$13:$AX$14</c:f>
              <c:numCache>
                <c:formatCode>General</c:formatCode>
                <c:ptCount val="2"/>
                <c:pt idx="0">
                  <c:v>104.86377207317989</c:v>
                </c:pt>
                <c:pt idx="1">
                  <c:v>3.4765649831110208</c:v>
                </c:pt>
              </c:numCache>
            </c:numRef>
          </c:yVal>
          <c:smooth val="0"/>
        </c:ser>
        <c:ser>
          <c:idx val="11"/>
          <c:order val="12"/>
          <c:tx>
            <c:v>m12</c:v>
          </c:tx>
          <c:marker>
            <c:symbol val="circle"/>
            <c:size val="9"/>
          </c:marker>
          <c:xVal>
            <c:numRef>
              <c:f>'03-Truss'!$AW$15:$AW$16</c:f>
              <c:numCache>
                <c:formatCode>General</c:formatCode>
                <c:ptCount val="2"/>
                <c:pt idx="0">
                  <c:v>1003.4285714286963</c:v>
                </c:pt>
                <c:pt idx="1">
                  <c:v>1513.7862760464072</c:v>
                </c:pt>
              </c:numCache>
            </c:numRef>
          </c:xVal>
          <c:yVal>
            <c:numRef>
              <c:f>'03-Truss'!$AX$15:$AX$16</c:f>
              <c:numCache>
                <c:formatCode>General</c:formatCode>
                <c:ptCount val="2"/>
                <c:pt idx="0">
                  <c:v>3.4765649831110208</c:v>
                </c:pt>
                <c:pt idx="1">
                  <c:v>100</c:v>
                </c:pt>
              </c:numCache>
            </c:numRef>
          </c:yVal>
          <c:smooth val="0"/>
        </c:ser>
        <c:ser>
          <c:idx val="13"/>
          <c:order val="13"/>
          <c:tx>
            <c:v>Pin-Support-2</c:v>
          </c:tx>
          <c:spPr>
            <a:ln w="38100" cap="flat" cmpd="sng" algn="ctr">
              <a:solidFill>
                <a:schemeClr val="accent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'03-Truss'!$BA$3:$BA$15</c:f>
              <c:numCache>
                <c:formatCode>General</c:formatCode>
                <c:ptCount val="13"/>
                <c:pt idx="0">
                  <c:v>2003.1494863588941</c:v>
                </c:pt>
                <c:pt idx="1">
                  <c:v>2028.1494863588941</c:v>
                </c:pt>
                <c:pt idx="2">
                  <c:v>1978.1494863588941</c:v>
                </c:pt>
                <c:pt idx="3">
                  <c:v>2003.1494863588941</c:v>
                </c:pt>
              </c:numCache>
            </c:numRef>
          </c:xVal>
          <c:yVal>
            <c:numRef>
              <c:f>'03-Truss'!$BB$3:$BB$15</c:f>
              <c:numCache>
                <c:formatCode>General</c:formatCode>
                <c:ptCount val="13"/>
                <c:pt idx="0">
                  <c:v>0</c:v>
                </c:pt>
                <c:pt idx="1">
                  <c:v>-25</c:v>
                </c:pt>
                <c:pt idx="2">
                  <c:v>-25</c:v>
                </c:pt>
                <c:pt idx="3">
                  <c:v>0</c:v>
                </c:pt>
              </c:numCache>
            </c:numRef>
          </c:yVal>
          <c:smooth val="0"/>
        </c:ser>
        <c:ser>
          <c:idx val="12"/>
          <c:order val="14"/>
          <c:tx>
            <c:v>m13</c:v>
          </c:tx>
          <c:marker>
            <c:symbol val="circle"/>
            <c:size val="9"/>
          </c:marker>
          <c:xVal>
            <c:numRef>
              <c:f>'03-Truss'!$AY$9:$AY$10</c:f>
              <c:numCache>
                <c:formatCode>General</c:formatCode>
                <c:ptCount val="2"/>
                <c:pt idx="0">
                  <c:v>1513.7862760464072</c:v>
                </c:pt>
                <c:pt idx="1">
                  <c:v>2003.1494863588941</c:v>
                </c:pt>
              </c:numCache>
            </c:numRef>
          </c:xVal>
          <c:yVal>
            <c:numRef>
              <c:f>'03-Truss'!$AZ$9:$AZ$10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90872"/>
        <c:axId val="389291656"/>
      </c:scatterChart>
      <c:valAx>
        <c:axId val="389290872"/>
        <c:scaling>
          <c:orientation val="minMax"/>
          <c:min val="-100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89291656"/>
        <c:crosses val="autoZero"/>
        <c:crossBetween val="midCat"/>
      </c:valAx>
      <c:valAx>
        <c:axId val="389291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89290872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133350</xdr:rowOff>
    </xdr:from>
    <xdr:to>
      <xdr:col>10</xdr:col>
      <xdr:colOff>638175</xdr:colOff>
      <xdr:row>10</xdr:row>
      <xdr:rowOff>19050</xdr:rowOff>
    </xdr:to>
    <xdr:grpSp>
      <xdr:nvGrpSpPr>
        <xdr:cNvPr id="19" name="Group 18"/>
        <xdr:cNvGrpSpPr/>
      </xdr:nvGrpSpPr>
      <xdr:grpSpPr>
        <a:xfrm>
          <a:off x="3505200" y="133350"/>
          <a:ext cx="3505200" cy="1790700"/>
          <a:chOff x="3952875" y="133350"/>
          <a:chExt cx="3914775" cy="1743075"/>
        </a:xfrm>
      </xdr:grpSpPr>
      <xdr:sp macro="" textlink="">
        <xdr:nvSpPr>
          <xdr:cNvPr id="2" name="Rectangle 1"/>
          <xdr:cNvSpPr/>
        </xdr:nvSpPr>
        <xdr:spPr>
          <a:xfrm>
            <a:off x="3952875" y="133350"/>
            <a:ext cx="3914775" cy="1743075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cxnSp macro="">
        <xdr:nvCxnSpPr>
          <xdr:cNvPr id="4" name="Straight Connector 3"/>
          <xdr:cNvCxnSpPr/>
        </xdr:nvCxnSpPr>
        <xdr:spPr>
          <a:xfrm>
            <a:off x="4314825" y="904875"/>
            <a:ext cx="2438400" cy="1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Isosceles Triangle 4"/>
          <xdr:cNvSpPr/>
        </xdr:nvSpPr>
        <xdr:spPr>
          <a:xfrm>
            <a:off x="4267200" y="904875"/>
            <a:ext cx="123825" cy="266700"/>
          </a:xfrm>
          <a:prstGeom prst="triangle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6" name="Oval 5"/>
          <xdr:cNvSpPr/>
        </xdr:nvSpPr>
        <xdr:spPr>
          <a:xfrm>
            <a:off x="6657976" y="914400"/>
            <a:ext cx="190500" cy="161925"/>
          </a:xfrm>
          <a:prstGeom prst="ellipse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cxnSp macro="">
        <xdr:nvCxnSpPr>
          <xdr:cNvPr id="8" name="Straight Connector 7"/>
          <xdr:cNvCxnSpPr/>
        </xdr:nvCxnSpPr>
        <xdr:spPr>
          <a:xfrm>
            <a:off x="6581775" y="1085850"/>
            <a:ext cx="371475" cy="1588"/>
          </a:xfrm>
          <a:prstGeom prst="line">
            <a:avLst/>
          </a:prstGeom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9" name="Rectangle 8"/>
          <xdr:cNvSpPr/>
        </xdr:nvSpPr>
        <xdr:spPr>
          <a:xfrm>
            <a:off x="4333875" y="666750"/>
            <a:ext cx="2390775" cy="20955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5505450" y="514350"/>
            <a:ext cx="390525" cy="1333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400" b="1"/>
              <a:t>w</a:t>
            </a:r>
            <a:endParaRPr lang="fa-IR" sz="1400" b="1"/>
          </a:p>
        </xdr:txBody>
      </xdr:sp>
      <xdr:cxnSp macro="">
        <xdr:nvCxnSpPr>
          <xdr:cNvPr id="12" name="Straight Arrow Connector 11"/>
          <xdr:cNvCxnSpPr/>
        </xdr:nvCxnSpPr>
        <xdr:spPr>
          <a:xfrm>
            <a:off x="4305300" y="1285875"/>
            <a:ext cx="2524125" cy="9525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" name="TextBox 13"/>
          <xdr:cNvSpPr txBox="1"/>
        </xdr:nvSpPr>
        <xdr:spPr>
          <a:xfrm>
            <a:off x="5372100" y="1171575"/>
            <a:ext cx="447675" cy="200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400" b="1"/>
              <a:t>L</a:t>
            </a:r>
            <a:endParaRPr lang="fa-IR" sz="1400" b="1"/>
          </a:p>
        </xdr:txBody>
      </xdr:sp>
      <xdr:cxnSp macro="">
        <xdr:nvCxnSpPr>
          <xdr:cNvPr id="18" name="Straight Connector 17"/>
          <xdr:cNvCxnSpPr/>
        </xdr:nvCxnSpPr>
        <xdr:spPr>
          <a:xfrm rot="5400000">
            <a:off x="4219575" y="1285875"/>
            <a:ext cx="190500" cy="158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 rot="5400000">
            <a:off x="6734175" y="1295400"/>
            <a:ext cx="190500" cy="158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2" name="Rectangle 21"/>
          <xdr:cNvSpPr/>
        </xdr:nvSpPr>
        <xdr:spPr>
          <a:xfrm>
            <a:off x="7115175" y="619125"/>
            <a:ext cx="257175" cy="323850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cxnSp macro="">
        <xdr:nvCxnSpPr>
          <xdr:cNvPr id="26" name="Straight Arrow Connector 25"/>
          <xdr:cNvCxnSpPr/>
        </xdr:nvCxnSpPr>
        <xdr:spPr>
          <a:xfrm rot="5400000">
            <a:off x="7367588" y="785812"/>
            <a:ext cx="352425" cy="1588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Straight Arrow Connector 27"/>
          <xdr:cNvCxnSpPr/>
        </xdr:nvCxnSpPr>
        <xdr:spPr>
          <a:xfrm>
            <a:off x="7105650" y="1104900"/>
            <a:ext cx="295275" cy="1588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" name="TextBox 28"/>
          <xdr:cNvSpPr txBox="1"/>
        </xdr:nvSpPr>
        <xdr:spPr>
          <a:xfrm>
            <a:off x="7477125" y="704850"/>
            <a:ext cx="104775" cy="1524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 b="1"/>
              <a:t>h</a:t>
            </a:r>
            <a:endParaRPr lang="fa-IR" sz="1100" b="1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7181849" y="990600"/>
            <a:ext cx="114301" cy="21907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 b="1"/>
              <a:t>b</a:t>
            </a:r>
            <a:endParaRPr lang="fa-IR" sz="11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660918</xdr:colOff>
      <xdr:row>13</xdr:row>
      <xdr:rowOff>68036</xdr:rowOff>
    </xdr:from>
    <xdr:to>
      <xdr:col>2</xdr:col>
      <xdr:colOff>242985</xdr:colOff>
      <xdr:row>13</xdr:row>
      <xdr:rowOff>174949</xdr:rowOff>
    </xdr:to>
    <xdr:cxnSp macro="">
      <xdr:nvCxnSpPr>
        <xdr:cNvPr id="3" name="Straight Arrow Connector 2"/>
        <xdr:cNvCxnSpPr/>
      </xdr:nvCxnSpPr>
      <xdr:spPr>
        <a:xfrm flipV="1">
          <a:off x="1350995" y="2196582"/>
          <a:ext cx="272143" cy="1069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2</xdr:row>
      <xdr:rowOff>142875</xdr:rowOff>
    </xdr:from>
    <xdr:to>
      <xdr:col>9</xdr:col>
      <xdr:colOff>228600</xdr:colOff>
      <xdr:row>16</xdr:row>
      <xdr:rowOff>57150</xdr:rowOff>
    </xdr:to>
    <xdr:sp macro="" textlink="">
      <xdr:nvSpPr>
        <xdr:cNvPr id="4" name="Rectangle 3"/>
        <xdr:cNvSpPr/>
      </xdr:nvSpPr>
      <xdr:spPr>
        <a:xfrm>
          <a:off x="3829050" y="523875"/>
          <a:ext cx="3152775" cy="254317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5</xdr:col>
      <xdr:colOff>247651</xdr:colOff>
      <xdr:row>5</xdr:row>
      <xdr:rowOff>19049</xdr:rowOff>
    </xdr:from>
    <xdr:to>
      <xdr:col>6</xdr:col>
      <xdr:colOff>628651</xdr:colOff>
      <xdr:row>12</xdr:row>
      <xdr:rowOff>66674</xdr:rowOff>
    </xdr:to>
    <xdr:cxnSp macro="">
      <xdr:nvCxnSpPr>
        <xdr:cNvPr id="6" name="Straight Connector 5"/>
        <xdr:cNvCxnSpPr/>
      </xdr:nvCxnSpPr>
      <xdr:spPr>
        <a:xfrm rot="16200000" flipH="1">
          <a:off x="4100513" y="1128712"/>
          <a:ext cx="1381125" cy="1066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628650</xdr:colOff>
      <xdr:row>5</xdr:row>
      <xdr:rowOff>28575</xdr:rowOff>
    </xdr:from>
    <xdr:to>
      <xdr:col>8</xdr:col>
      <xdr:colOff>247650</xdr:colOff>
      <xdr:row>12</xdr:row>
      <xdr:rowOff>85725</xdr:rowOff>
    </xdr:to>
    <xdr:cxnSp macro="">
      <xdr:nvCxnSpPr>
        <xdr:cNvPr id="8" name="Straight Connector 7"/>
        <xdr:cNvCxnSpPr/>
      </xdr:nvCxnSpPr>
      <xdr:spPr>
        <a:xfrm rot="5400000" flipH="1" flipV="1">
          <a:off x="5124450" y="1181100"/>
          <a:ext cx="1390650" cy="990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4</xdr:row>
      <xdr:rowOff>180975</xdr:rowOff>
    </xdr:from>
    <xdr:to>
      <xdr:col>5</xdr:col>
      <xdr:colOff>274319</xdr:colOff>
      <xdr:row>5</xdr:row>
      <xdr:rowOff>66675</xdr:rowOff>
    </xdr:to>
    <xdr:sp macro="" textlink="">
      <xdr:nvSpPr>
        <xdr:cNvPr id="9" name="Flowchart: Connector 8"/>
        <xdr:cNvSpPr/>
      </xdr:nvSpPr>
      <xdr:spPr>
        <a:xfrm>
          <a:off x="4238625" y="942975"/>
          <a:ext cx="45719" cy="76200"/>
        </a:xfrm>
        <a:prstGeom prst="flowChartConnector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8</xdr:col>
      <xdr:colOff>219075</xdr:colOff>
      <xdr:row>4</xdr:row>
      <xdr:rowOff>152400</xdr:rowOff>
    </xdr:from>
    <xdr:to>
      <xdr:col>8</xdr:col>
      <xdr:colOff>264794</xdr:colOff>
      <xdr:row>5</xdr:row>
      <xdr:rowOff>38100</xdr:rowOff>
    </xdr:to>
    <xdr:sp macro="" textlink="">
      <xdr:nvSpPr>
        <xdr:cNvPr id="10" name="Flowchart: Connector 9"/>
        <xdr:cNvSpPr/>
      </xdr:nvSpPr>
      <xdr:spPr>
        <a:xfrm>
          <a:off x="6286500" y="914400"/>
          <a:ext cx="45719" cy="76200"/>
        </a:xfrm>
        <a:prstGeom prst="flowChartConnector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6</xdr:col>
      <xdr:colOff>571500</xdr:colOff>
      <xdr:row>12</xdr:row>
      <xdr:rowOff>9525</xdr:rowOff>
    </xdr:from>
    <xdr:to>
      <xdr:col>7</xdr:col>
      <xdr:colOff>38100</xdr:colOff>
      <xdr:row>12</xdr:row>
      <xdr:rowOff>104775</xdr:rowOff>
    </xdr:to>
    <xdr:sp macro="" textlink="">
      <xdr:nvSpPr>
        <xdr:cNvPr id="11" name="Flowchart: Connector 10"/>
        <xdr:cNvSpPr/>
      </xdr:nvSpPr>
      <xdr:spPr>
        <a:xfrm>
          <a:off x="4714875" y="2295525"/>
          <a:ext cx="76200" cy="95250"/>
        </a:xfrm>
        <a:prstGeom prst="flowChartConnector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6</xdr:col>
      <xdr:colOff>619126</xdr:colOff>
      <xdr:row>12</xdr:row>
      <xdr:rowOff>85725</xdr:rowOff>
    </xdr:from>
    <xdr:to>
      <xdr:col>6</xdr:col>
      <xdr:colOff>628651</xdr:colOff>
      <xdr:row>14</xdr:row>
      <xdr:rowOff>114300</xdr:rowOff>
    </xdr:to>
    <xdr:cxnSp macro="">
      <xdr:nvCxnSpPr>
        <xdr:cNvPr id="15" name="Straight Arrow Connector 14"/>
        <xdr:cNvCxnSpPr/>
      </xdr:nvCxnSpPr>
      <xdr:spPr>
        <a:xfrm rot="5400000">
          <a:off x="5124451" y="2562225"/>
          <a:ext cx="3905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14</xdr:row>
      <xdr:rowOff>123826</xdr:rowOff>
    </xdr:from>
    <xdr:to>
      <xdr:col>7</xdr:col>
      <xdr:colOff>133350</xdr:colOff>
      <xdr:row>15</xdr:row>
      <xdr:rowOff>38100</xdr:rowOff>
    </xdr:to>
    <xdr:sp macro="" textlink="">
      <xdr:nvSpPr>
        <xdr:cNvPr id="16" name="TextBox 15"/>
        <xdr:cNvSpPr txBox="1"/>
      </xdr:nvSpPr>
      <xdr:spPr>
        <a:xfrm>
          <a:off x="5153025" y="2771776"/>
          <a:ext cx="361950" cy="9524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t"/>
        <a:lstStyle/>
        <a:p>
          <a:r>
            <a:rPr lang="en-US" sz="1100" b="1"/>
            <a:t>W</a:t>
          </a:r>
          <a:endParaRPr lang="fa-IR" sz="1100" b="1"/>
        </a:p>
      </xdr:txBody>
    </xdr:sp>
    <xdr:clientData/>
  </xdr:twoCellAnchor>
  <xdr:twoCellAnchor>
    <xdr:from>
      <xdr:col>5</xdr:col>
      <xdr:colOff>152400</xdr:colOff>
      <xdr:row>4</xdr:row>
      <xdr:rowOff>161925</xdr:rowOff>
    </xdr:from>
    <xdr:to>
      <xdr:col>5</xdr:col>
      <xdr:colOff>400050</xdr:colOff>
      <xdr:row>4</xdr:row>
      <xdr:rowOff>163513</xdr:rowOff>
    </xdr:to>
    <xdr:cxnSp macro="">
      <xdr:nvCxnSpPr>
        <xdr:cNvPr id="18" name="Straight Connector 17"/>
        <xdr:cNvCxnSpPr/>
      </xdr:nvCxnSpPr>
      <xdr:spPr>
        <a:xfrm>
          <a:off x="4162425" y="923925"/>
          <a:ext cx="247650" cy="1588"/>
        </a:xfrm>
        <a:prstGeom prst="line">
          <a:avLst/>
        </a:prstGeom>
        <a:ln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4</xdr:row>
      <xdr:rowOff>114300</xdr:rowOff>
    </xdr:from>
    <xdr:to>
      <xdr:col>8</xdr:col>
      <xdr:colOff>371475</xdr:colOff>
      <xdr:row>4</xdr:row>
      <xdr:rowOff>115888</xdr:rowOff>
    </xdr:to>
    <xdr:cxnSp macro="">
      <xdr:nvCxnSpPr>
        <xdr:cNvPr id="19" name="Straight Connector 18"/>
        <xdr:cNvCxnSpPr/>
      </xdr:nvCxnSpPr>
      <xdr:spPr>
        <a:xfrm>
          <a:off x="6191250" y="876300"/>
          <a:ext cx="247650" cy="1588"/>
        </a:xfrm>
        <a:prstGeom prst="line">
          <a:avLst/>
        </a:prstGeom>
        <a:ln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8731</xdr:colOff>
      <xdr:row>4</xdr:row>
      <xdr:rowOff>172244</xdr:rowOff>
    </xdr:from>
    <xdr:to>
      <xdr:col>5</xdr:col>
      <xdr:colOff>10319</xdr:colOff>
      <xdr:row>12</xdr:row>
      <xdr:rowOff>115094</xdr:rowOff>
    </xdr:to>
    <xdr:cxnSp macro="">
      <xdr:nvCxnSpPr>
        <xdr:cNvPr id="21" name="Straight Arrow Connector 20"/>
        <xdr:cNvCxnSpPr/>
      </xdr:nvCxnSpPr>
      <xdr:spPr>
        <a:xfrm rot="5400000">
          <a:off x="3286125" y="1666875"/>
          <a:ext cx="146685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4</xdr:row>
      <xdr:rowOff>9525</xdr:rowOff>
    </xdr:from>
    <xdr:to>
      <xdr:col>8</xdr:col>
      <xdr:colOff>295275</xdr:colOff>
      <xdr:row>4</xdr:row>
      <xdr:rowOff>11113</xdr:rowOff>
    </xdr:to>
    <xdr:cxnSp macro="">
      <xdr:nvCxnSpPr>
        <xdr:cNvPr id="23" name="Straight Arrow Connector 22"/>
        <xdr:cNvCxnSpPr/>
      </xdr:nvCxnSpPr>
      <xdr:spPr>
        <a:xfrm>
          <a:off x="4229100" y="771525"/>
          <a:ext cx="213360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3</xdr:row>
      <xdr:rowOff>85725</xdr:rowOff>
    </xdr:from>
    <xdr:to>
      <xdr:col>7</xdr:col>
      <xdr:colOff>209550</xdr:colOff>
      <xdr:row>4</xdr:row>
      <xdr:rowOff>123825</xdr:rowOff>
    </xdr:to>
    <xdr:sp macro="" textlink="">
      <xdr:nvSpPr>
        <xdr:cNvPr id="24" name="TextBox 23"/>
        <xdr:cNvSpPr txBox="1"/>
      </xdr:nvSpPr>
      <xdr:spPr>
        <a:xfrm>
          <a:off x="5219700" y="657225"/>
          <a:ext cx="3714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400" b="1"/>
            <a:t>b</a:t>
          </a:r>
          <a:endParaRPr lang="fa-IR" sz="1400" b="1"/>
        </a:p>
      </xdr:txBody>
    </xdr:sp>
    <xdr:clientData/>
  </xdr:twoCellAnchor>
  <xdr:twoCellAnchor>
    <xdr:from>
      <xdr:col>4</xdr:col>
      <xdr:colOff>600075</xdr:colOff>
      <xdr:row>7</xdr:row>
      <xdr:rowOff>123825</xdr:rowOff>
    </xdr:from>
    <xdr:to>
      <xdr:col>5</xdr:col>
      <xdr:colOff>133350</xdr:colOff>
      <xdr:row>9</xdr:row>
      <xdr:rowOff>95250</xdr:rowOff>
    </xdr:to>
    <xdr:sp macro="" textlink="">
      <xdr:nvSpPr>
        <xdr:cNvPr id="25" name="TextBox 24"/>
        <xdr:cNvSpPr txBox="1"/>
      </xdr:nvSpPr>
      <xdr:spPr>
        <a:xfrm>
          <a:off x="3924300" y="1457325"/>
          <a:ext cx="21907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400" b="1"/>
            <a:t>h</a:t>
          </a:r>
          <a:endParaRPr lang="fa-I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24177</xdr:colOff>
      <xdr:row>2</xdr:row>
      <xdr:rowOff>164398</xdr:rowOff>
    </xdr:from>
    <xdr:to>
      <xdr:col>12</xdr:col>
      <xdr:colOff>47989</xdr:colOff>
      <xdr:row>16</xdr:row>
      <xdr:rowOff>170351</xdr:rowOff>
    </xdr:to>
    <xdr:grpSp>
      <xdr:nvGrpSpPr>
        <xdr:cNvPr id="39" name="Group 38"/>
        <xdr:cNvGrpSpPr/>
      </xdr:nvGrpSpPr>
      <xdr:grpSpPr>
        <a:xfrm>
          <a:off x="3186477" y="526348"/>
          <a:ext cx="4548187" cy="2768203"/>
          <a:chOff x="3376977" y="526348"/>
          <a:chExt cx="4824412" cy="2711053"/>
        </a:xfrm>
      </xdr:grpSpPr>
      <xdr:sp macro="" textlink="">
        <xdr:nvSpPr>
          <xdr:cNvPr id="2" name="Rectangle 1"/>
          <xdr:cNvSpPr/>
        </xdr:nvSpPr>
        <xdr:spPr>
          <a:xfrm>
            <a:off x="3376977" y="526348"/>
            <a:ext cx="4824412" cy="2711053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grpSp>
        <xdr:nvGrpSpPr>
          <xdr:cNvPr id="38" name="Group 37"/>
          <xdr:cNvGrpSpPr/>
        </xdr:nvGrpSpPr>
        <xdr:grpSpPr>
          <a:xfrm>
            <a:off x="3488040" y="576088"/>
            <a:ext cx="4506415" cy="2572645"/>
            <a:chOff x="3591017" y="600667"/>
            <a:chExt cx="4496024" cy="2568315"/>
          </a:xfrm>
        </xdr:grpSpPr>
        <xdr:cxnSp macro="">
          <xdr:nvCxnSpPr>
            <xdr:cNvPr id="27" name="Straight Connector 26"/>
            <xdr:cNvCxnSpPr/>
          </xdr:nvCxnSpPr>
          <xdr:spPr>
            <a:xfrm flipV="1">
              <a:off x="4129954" y="1055834"/>
              <a:ext cx="1645948" cy="1741334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" name="Straight Connector 28"/>
            <xdr:cNvCxnSpPr/>
          </xdr:nvCxnSpPr>
          <xdr:spPr>
            <a:xfrm>
              <a:off x="5775902" y="1055832"/>
              <a:ext cx="1630003" cy="1726179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" name="Straight Connector 30"/>
            <xdr:cNvCxnSpPr/>
          </xdr:nvCxnSpPr>
          <xdr:spPr>
            <a:xfrm flipV="1">
              <a:off x="4139479" y="2790705"/>
              <a:ext cx="3256606" cy="155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2" name="Isosceles Triangle 41"/>
            <xdr:cNvSpPr/>
          </xdr:nvSpPr>
          <xdr:spPr>
            <a:xfrm>
              <a:off x="4075992" y="2798618"/>
              <a:ext cx="131562" cy="202521"/>
            </a:xfrm>
            <a:prstGeom prst="triangle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endParaRPr lang="fa-IR" sz="1100"/>
            </a:p>
          </xdr:txBody>
        </xdr:sp>
        <xdr:sp macro="" textlink="">
          <xdr:nvSpPr>
            <xdr:cNvPr id="43" name="Oval 42"/>
            <xdr:cNvSpPr/>
          </xdr:nvSpPr>
          <xdr:spPr>
            <a:xfrm>
              <a:off x="7380578" y="2804896"/>
              <a:ext cx="45719" cy="165173"/>
            </a:xfrm>
            <a:prstGeom prst="ellipse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endParaRPr lang="fa-IR" sz="1100"/>
            </a:p>
          </xdr:txBody>
        </xdr:sp>
        <xdr:sp macro="" textlink="">
          <xdr:nvSpPr>
            <xdr:cNvPr id="44" name="Oval 43"/>
            <xdr:cNvSpPr/>
          </xdr:nvSpPr>
          <xdr:spPr>
            <a:xfrm>
              <a:off x="5749634" y="1039096"/>
              <a:ext cx="60614" cy="60614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endParaRPr lang="fa-IR" sz="1100"/>
            </a:p>
          </xdr:txBody>
        </xdr:sp>
        <xdr:sp macro="" textlink="">
          <xdr:nvSpPr>
            <xdr:cNvPr id="45" name="Oval 44"/>
            <xdr:cNvSpPr/>
          </xdr:nvSpPr>
          <xdr:spPr>
            <a:xfrm>
              <a:off x="4107115" y="2762791"/>
              <a:ext cx="60614" cy="60614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endParaRPr lang="fa-IR" sz="1100"/>
            </a:p>
          </xdr:txBody>
        </xdr:sp>
        <xdr:sp macro="" textlink="">
          <xdr:nvSpPr>
            <xdr:cNvPr id="46" name="Oval 45"/>
            <xdr:cNvSpPr/>
          </xdr:nvSpPr>
          <xdr:spPr>
            <a:xfrm>
              <a:off x="7372922" y="2746149"/>
              <a:ext cx="60614" cy="60614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endParaRPr lang="fa-IR" sz="1100"/>
            </a:p>
          </xdr:txBody>
        </xdr:sp>
        <xdr:cxnSp macro="">
          <xdr:nvCxnSpPr>
            <xdr:cNvPr id="48" name="Straight Connector 47"/>
            <xdr:cNvCxnSpPr/>
          </xdr:nvCxnSpPr>
          <xdr:spPr>
            <a:xfrm>
              <a:off x="7299614" y="2993378"/>
              <a:ext cx="196828" cy="1588"/>
            </a:xfrm>
            <a:prstGeom prst="line">
              <a:avLst/>
            </a:prstGeom>
          </xdr:spPr>
          <xdr:style>
            <a:lnRef idx="3">
              <a:schemeClr val="accent4"/>
            </a:lnRef>
            <a:fillRef idx="0">
              <a:schemeClr val="accent4"/>
            </a:fillRef>
            <a:effectRef idx="2">
              <a:schemeClr val="accent4"/>
            </a:effectRef>
            <a:fontRef idx="minor">
              <a:schemeClr val="tx1"/>
            </a:fontRef>
          </xdr:style>
        </xdr:cxnSp>
        <xdr:cxnSp macro="">
          <xdr:nvCxnSpPr>
            <xdr:cNvPr id="50" name="Straight Arrow Connector 49"/>
            <xdr:cNvCxnSpPr/>
          </xdr:nvCxnSpPr>
          <xdr:spPr>
            <a:xfrm>
              <a:off x="4140319" y="3088114"/>
              <a:ext cx="3262909" cy="16627"/>
            </a:xfrm>
            <a:prstGeom prst="straightConnector1">
              <a:avLst/>
            </a:prstGeom>
            <a:ln>
              <a:headEnd type="arrow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52"/>
            <xdr:cNvCxnSpPr/>
          </xdr:nvCxnSpPr>
          <xdr:spPr>
            <a:xfrm rot="16200000" flipV="1">
              <a:off x="7136494" y="1907247"/>
              <a:ext cx="1690976" cy="4582"/>
            </a:xfrm>
            <a:prstGeom prst="straightConnector1">
              <a:avLst/>
            </a:prstGeom>
            <a:ln>
              <a:headEnd type="arrow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Straight Connector 54"/>
            <xdr:cNvCxnSpPr/>
          </xdr:nvCxnSpPr>
          <xdr:spPr>
            <a:xfrm>
              <a:off x="7886456" y="1069653"/>
              <a:ext cx="184897" cy="158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Straight Connector 55"/>
            <xdr:cNvCxnSpPr/>
          </xdr:nvCxnSpPr>
          <xdr:spPr>
            <a:xfrm>
              <a:off x="7896031" y="2744631"/>
              <a:ext cx="185804" cy="158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" name="Straight Connector 57"/>
            <xdr:cNvCxnSpPr/>
          </xdr:nvCxnSpPr>
          <xdr:spPr>
            <a:xfrm rot="5400000">
              <a:off x="7336328" y="3107748"/>
              <a:ext cx="120881" cy="158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" name="Straight Connector 58"/>
            <xdr:cNvCxnSpPr/>
          </xdr:nvCxnSpPr>
          <xdr:spPr>
            <a:xfrm rot="5400000">
              <a:off x="4088166" y="3094333"/>
              <a:ext cx="120881" cy="158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0" name="TextBox 59"/>
            <xdr:cNvSpPr txBox="1"/>
          </xdr:nvSpPr>
          <xdr:spPr>
            <a:xfrm>
              <a:off x="5613342" y="2997777"/>
              <a:ext cx="400050" cy="1666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ctr"/>
            <a:lstStyle/>
            <a:p>
              <a:pPr algn="ctr"/>
              <a:r>
                <a:rPr lang="en-US" sz="1100"/>
                <a:t>L</a:t>
              </a:r>
              <a:endParaRPr lang="fa-IR" sz="1100"/>
            </a:p>
          </xdr:txBody>
        </xdr:sp>
        <xdr:sp macro="" textlink="">
          <xdr:nvSpPr>
            <xdr:cNvPr id="62" name="TextBox 61"/>
            <xdr:cNvSpPr txBox="1"/>
          </xdr:nvSpPr>
          <xdr:spPr>
            <a:xfrm>
              <a:off x="7892731" y="1711729"/>
              <a:ext cx="194310" cy="31449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ctr"/>
            <a:lstStyle/>
            <a:p>
              <a:pPr algn="ctr"/>
              <a:r>
                <a:rPr lang="en-US" sz="1100"/>
                <a:t>h</a:t>
              </a:r>
              <a:endParaRPr lang="fa-IR" sz="1100"/>
            </a:p>
          </xdr:txBody>
        </xdr:sp>
        <xdr:cxnSp macro="">
          <xdr:nvCxnSpPr>
            <xdr:cNvPr id="64" name="Straight Arrow Connector 63"/>
            <xdr:cNvCxnSpPr/>
          </xdr:nvCxnSpPr>
          <xdr:spPr>
            <a:xfrm rot="5400000" flipH="1" flipV="1">
              <a:off x="3571650" y="2679986"/>
              <a:ext cx="209185" cy="1588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Straight Arrow Connector 65"/>
            <xdr:cNvCxnSpPr/>
          </xdr:nvCxnSpPr>
          <xdr:spPr>
            <a:xfrm>
              <a:off x="3676243" y="2789591"/>
              <a:ext cx="205540" cy="1588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" name="Straight Arrow Connector 70"/>
            <xdr:cNvCxnSpPr/>
          </xdr:nvCxnSpPr>
          <xdr:spPr>
            <a:xfrm>
              <a:off x="5788602" y="945208"/>
              <a:ext cx="240631" cy="1588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" name="Straight Arrow Connector 72"/>
            <xdr:cNvCxnSpPr/>
          </xdr:nvCxnSpPr>
          <xdr:spPr>
            <a:xfrm rot="5400000" flipH="1" flipV="1">
              <a:off x="5684008" y="845628"/>
              <a:ext cx="209186" cy="1588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" name="Straight Arrow Connector 74"/>
            <xdr:cNvCxnSpPr/>
          </xdr:nvCxnSpPr>
          <xdr:spPr>
            <a:xfrm>
              <a:off x="7474847" y="2764528"/>
              <a:ext cx="235618" cy="1588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" name="Straight Arrow Connector 76"/>
            <xdr:cNvCxnSpPr/>
          </xdr:nvCxnSpPr>
          <xdr:spPr>
            <a:xfrm rot="5400000" flipH="1" flipV="1">
              <a:off x="7355215" y="2639883"/>
              <a:ext cx="239264" cy="1588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8" name="TextBox 77"/>
            <xdr:cNvSpPr txBox="1"/>
          </xdr:nvSpPr>
          <xdr:spPr>
            <a:xfrm flipH="1">
              <a:off x="3906849" y="2709385"/>
              <a:ext cx="125326" cy="1253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ctr"/>
            <a:lstStyle/>
            <a:p>
              <a:pPr algn="ctr"/>
              <a:r>
                <a:rPr lang="en-US" sz="1100"/>
                <a:t>1</a:t>
              </a:r>
              <a:endParaRPr lang="fa-IR" sz="1100"/>
            </a:p>
          </xdr:txBody>
        </xdr:sp>
        <xdr:sp macro="" textlink="">
          <xdr:nvSpPr>
            <xdr:cNvPr id="80" name="TextBox 79"/>
            <xdr:cNvSpPr txBox="1"/>
          </xdr:nvSpPr>
          <xdr:spPr>
            <a:xfrm>
              <a:off x="3591017" y="2419988"/>
              <a:ext cx="190500" cy="13535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ctr"/>
            <a:lstStyle/>
            <a:p>
              <a:pPr algn="ctr"/>
              <a:r>
                <a:rPr lang="en-US" sz="1100"/>
                <a:t>2</a:t>
              </a:r>
              <a:endParaRPr lang="fa-IR" sz="1100"/>
            </a:p>
          </xdr:txBody>
        </xdr:sp>
        <xdr:sp macro="" textlink="">
          <xdr:nvSpPr>
            <xdr:cNvPr id="81" name="TextBox 80"/>
            <xdr:cNvSpPr txBox="1"/>
          </xdr:nvSpPr>
          <xdr:spPr>
            <a:xfrm>
              <a:off x="7715478" y="2714396"/>
              <a:ext cx="115303" cy="10026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ctr"/>
            <a:lstStyle/>
            <a:p>
              <a:pPr algn="ctr"/>
              <a:r>
                <a:rPr lang="en-US" sz="1100"/>
                <a:t>3</a:t>
              </a:r>
              <a:endParaRPr lang="fa-IR" sz="1100"/>
            </a:p>
          </xdr:txBody>
        </xdr:sp>
        <xdr:sp macro="" textlink="">
          <xdr:nvSpPr>
            <xdr:cNvPr id="83" name="TextBox 82"/>
            <xdr:cNvSpPr txBox="1"/>
          </xdr:nvSpPr>
          <xdr:spPr>
            <a:xfrm>
              <a:off x="7387346" y="2389909"/>
              <a:ext cx="142646" cy="10527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ctr"/>
            <a:lstStyle/>
            <a:p>
              <a:pPr algn="ctr"/>
              <a:r>
                <a:rPr lang="en-US" sz="1100"/>
                <a:t>4</a:t>
              </a:r>
              <a:endParaRPr lang="fa-IR" sz="1100"/>
            </a:p>
          </xdr:txBody>
        </xdr:sp>
        <xdr:sp macro="" textlink="">
          <xdr:nvSpPr>
            <xdr:cNvPr id="84" name="TextBox 83"/>
            <xdr:cNvSpPr txBox="1"/>
          </xdr:nvSpPr>
          <xdr:spPr>
            <a:xfrm>
              <a:off x="6049286" y="866365"/>
              <a:ext cx="147660" cy="12396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ctr"/>
            <a:lstStyle/>
            <a:p>
              <a:pPr algn="ctr"/>
              <a:r>
                <a:rPr lang="en-US" sz="1100"/>
                <a:t>5</a:t>
              </a:r>
              <a:endParaRPr lang="fa-IR" sz="1100"/>
            </a:p>
          </xdr:txBody>
        </xdr:sp>
        <xdr:sp macro="" textlink="">
          <xdr:nvSpPr>
            <xdr:cNvPr id="85" name="TextBox 84"/>
            <xdr:cNvSpPr txBox="1"/>
          </xdr:nvSpPr>
          <xdr:spPr>
            <a:xfrm>
              <a:off x="5703379" y="600667"/>
              <a:ext cx="145382" cy="10527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ctr"/>
            <a:lstStyle/>
            <a:p>
              <a:pPr algn="ctr"/>
              <a:r>
                <a:rPr lang="en-US" sz="1100"/>
                <a:t>6</a:t>
              </a:r>
              <a:endParaRPr lang="fa-IR" sz="1100"/>
            </a:p>
          </xdr:txBody>
        </xdr:sp>
      </xdr:grpSp>
    </xdr:grpSp>
    <xdr:clientData/>
  </xdr:twoCellAnchor>
  <xdr:twoCellAnchor>
    <xdr:from>
      <xdr:col>12</xdr:col>
      <xdr:colOff>123825</xdr:colOff>
      <xdr:row>48</xdr:row>
      <xdr:rowOff>95250</xdr:rowOff>
    </xdr:from>
    <xdr:to>
      <xdr:col>12</xdr:col>
      <xdr:colOff>504825</xdr:colOff>
      <xdr:row>48</xdr:row>
      <xdr:rowOff>96838</xdr:rowOff>
    </xdr:to>
    <xdr:cxnSp macro="">
      <xdr:nvCxnSpPr>
        <xdr:cNvPr id="86" name="Straight Connector 85"/>
        <xdr:cNvCxnSpPr/>
      </xdr:nvCxnSpPr>
      <xdr:spPr>
        <a:xfrm>
          <a:off x="8286750" y="8362950"/>
          <a:ext cx="3810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49</xdr:row>
      <xdr:rowOff>71438</xdr:rowOff>
    </xdr:from>
    <xdr:to>
      <xdr:col>12</xdr:col>
      <xdr:colOff>495300</xdr:colOff>
      <xdr:row>49</xdr:row>
      <xdr:rowOff>73026</xdr:rowOff>
    </xdr:to>
    <xdr:cxnSp macro="">
      <xdr:nvCxnSpPr>
        <xdr:cNvPr id="87" name="Straight Connector 86"/>
        <xdr:cNvCxnSpPr/>
      </xdr:nvCxnSpPr>
      <xdr:spPr>
        <a:xfrm>
          <a:off x="8296275" y="8529638"/>
          <a:ext cx="36195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200028</xdr:colOff>
      <xdr:row>48</xdr:row>
      <xdr:rowOff>76200</xdr:rowOff>
    </xdr:from>
    <xdr:to>
      <xdr:col>10</xdr:col>
      <xdr:colOff>371480</xdr:colOff>
      <xdr:row>49</xdr:row>
      <xdr:rowOff>109538</xdr:rowOff>
    </xdr:to>
    <xdr:cxnSp macro="">
      <xdr:nvCxnSpPr>
        <xdr:cNvPr id="88" name="Straight Connector 87"/>
        <xdr:cNvCxnSpPr/>
      </xdr:nvCxnSpPr>
      <xdr:spPr>
        <a:xfrm rot="5400000">
          <a:off x="6965160" y="8370093"/>
          <a:ext cx="223838" cy="1714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48</xdr:row>
      <xdr:rowOff>95251</xdr:rowOff>
    </xdr:from>
    <xdr:to>
      <xdr:col>10</xdr:col>
      <xdr:colOff>409580</xdr:colOff>
      <xdr:row>49</xdr:row>
      <xdr:rowOff>109539</xdr:rowOff>
    </xdr:to>
    <xdr:cxnSp macro="">
      <xdr:nvCxnSpPr>
        <xdr:cNvPr id="89" name="Straight Connector 88"/>
        <xdr:cNvCxnSpPr/>
      </xdr:nvCxnSpPr>
      <xdr:spPr>
        <a:xfrm>
          <a:off x="6991350" y="8362951"/>
          <a:ext cx="209555" cy="2047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56</xdr:row>
      <xdr:rowOff>61913</xdr:rowOff>
    </xdr:from>
    <xdr:to>
      <xdr:col>6</xdr:col>
      <xdr:colOff>514350</xdr:colOff>
      <xdr:row>56</xdr:row>
      <xdr:rowOff>63501</xdr:rowOff>
    </xdr:to>
    <xdr:cxnSp macro="">
      <xdr:nvCxnSpPr>
        <xdr:cNvPr id="92" name="Straight Connector 91"/>
        <xdr:cNvCxnSpPr/>
      </xdr:nvCxnSpPr>
      <xdr:spPr>
        <a:xfrm>
          <a:off x="4200525" y="9967913"/>
          <a:ext cx="36195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55</xdr:row>
      <xdr:rowOff>66675</xdr:rowOff>
    </xdr:from>
    <xdr:to>
      <xdr:col>6</xdr:col>
      <xdr:colOff>523875</xdr:colOff>
      <xdr:row>55</xdr:row>
      <xdr:rowOff>68263</xdr:rowOff>
    </xdr:to>
    <xdr:cxnSp macro="">
      <xdr:nvCxnSpPr>
        <xdr:cNvPr id="93" name="Straight Connector 92"/>
        <xdr:cNvCxnSpPr/>
      </xdr:nvCxnSpPr>
      <xdr:spPr>
        <a:xfrm>
          <a:off x="4191000" y="9791700"/>
          <a:ext cx="3810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114300</xdr:rowOff>
    </xdr:from>
    <xdr:to>
      <xdr:col>8</xdr:col>
      <xdr:colOff>647700</xdr:colOff>
      <xdr:row>22</xdr:row>
      <xdr:rowOff>142875</xdr:rowOff>
    </xdr:to>
    <xdr:sp macro="" textlink="">
      <xdr:nvSpPr>
        <xdr:cNvPr id="2" name="Rectangle 1"/>
        <xdr:cNvSpPr/>
      </xdr:nvSpPr>
      <xdr:spPr>
        <a:xfrm>
          <a:off x="3009900" y="114300"/>
          <a:ext cx="3371850" cy="346710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5</xdr:col>
      <xdr:colOff>142875</xdr:colOff>
      <xdr:row>3</xdr:row>
      <xdr:rowOff>95250</xdr:rowOff>
    </xdr:from>
    <xdr:to>
      <xdr:col>7</xdr:col>
      <xdr:colOff>466725</xdr:colOff>
      <xdr:row>4</xdr:row>
      <xdr:rowOff>152400</xdr:rowOff>
    </xdr:to>
    <xdr:sp macro="" textlink="">
      <xdr:nvSpPr>
        <xdr:cNvPr id="3" name="Rectangle 2"/>
        <xdr:cNvSpPr/>
      </xdr:nvSpPr>
      <xdr:spPr>
        <a:xfrm>
          <a:off x="3819525" y="638175"/>
          <a:ext cx="16954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6</xdr:col>
      <xdr:colOff>219075</xdr:colOff>
      <xdr:row>4</xdr:row>
      <xdr:rowOff>152400</xdr:rowOff>
    </xdr:from>
    <xdr:to>
      <xdr:col>6</xdr:col>
      <xdr:colOff>371475</xdr:colOff>
      <xdr:row>19</xdr:row>
      <xdr:rowOff>9525</xdr:rowOff>
    </xdr:to>
    <xdr:sp macro="" textlink="">
      <xdr:nvSpPr>
        <xdr:cNvPr id="4" name="Rectangle 3"/>
        <xdr:cNvSpPr/>
      </xdr:nvSpPr>
      <xdr:spPr>
        <a:xfrm>
          <a:off x="4581525" y="876300"/>
          <a:ext cx="152400" cy="2028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5</xdr:col>
      <xdr:colOff>133350</xdr:colOff>
      <xdr:row>19</xdr:row>
      <xdr:rowOff>9525</xdr:rowOff>
    </xdr:from>
    <xdr:to>
      <xdr:col>7</xdr:col>
      <xdr:colOff>457200</xdr:colOff>
      <xdr:row>20</xdr:row>
      <xdr:rowOff>66675</xdr:rowOff>
    </xdr:to>
    <xdr:sp macro="" textlink="">
      <xdr:nvSpPr>
        <xdr:cNvPr id="5" name="Rectangle 4"/>
        <xdr:cNvSpPr/>
      </xdr:nvSpPr>
      <xdr:spPr>
        <a:xfrm>
          <a:off x="3810000" y="2905125"/>
          <a:ext cx="16954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5</xdr:col>
      <xdr:colOff>133350</xdr:colOff>
      <xdr:row>2</xdr:row>
      <xdr:rowOff>133350</xdr:rowOff>
    </xdr:from>
    <xdr:to>
      <xdr:col>7</xdr:col>
      <xdr:colOff>504825</xdr:colOff>
      <xdr:row>2</xdr:row>
      <xdr:rowOff>134938</xdr:rowOff>
    </xdr:to>
    <xdr:cxnSp macro="">
      <xdr:nvCxnSpPr>
        <xdr:cNvPr id="7" name="Straight Arrow Connector 6"/>
        <xdr:cNvCxnSpPr/>
      </xdr:nvCxnSpPr>
      <xdr:spPr>
        <a:xfrm>
          <a:off x="3810000" y="495300"/>
          <a:ext cx="174307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685007</xdr:colOff>
      <xdr:row>3</xdr:row>
      <xdr:rowOff>76993</xdr:rowOff>
    </xdr:from>
    <xdr:to>
      <xdr:col>8</xdr:col>
      <xdr:colOff>795</xdr:colOff>
      <xdr:row>4</xdr:row>
      <xdr:rowOff>172243</xdr:rowOff>
    </xdr:to>
    <xdr:cxnSp macro="">
      <xdr:nvCxnSpPr>
        <xdr:cNvPr id="13" name="Straight Arrow Connector 12"/>
        <xdr:cNvCxnSpPr/>
      </xdr:nvCxnSpPr>
      <xdr:spPr>
        <a:xfrm rot="5400000">
          <a:off x="5595938" y="757237"/>
          <a:ext cx="27622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675481</xdr:colOff>
      <xdr:row>4</xdr:row>
      <xdr:rowOff>162719</xdr:rowOff>
    </xdr:from>
    <xdr:to>
      <xdr:col>7</xdr:col>
      <xdr:colOff>677069</xdr:colOff>
      <xdr:row>18</xdr:row>
      <xdr:rowOff>172244</xdr:rowOff>
    </xdr:to>
    <xdr:cxnSp macro="">
      <xdr:nvCxnSpPr>
        <xdr:cNvPr id="15" name="Straight Arrow Connector 14"/>
        <xdr:cNvCxnSpPr/>
      </xdr:nvCxnSpPr>
      <xdr:spPr>
        <a:xfrm rot="5400000">
          <a:off x="4724400" y="1885950"/>
          <a:ext cx="200025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675481</xdr:colOff>
      <xdr:row>18</xdr:row>
      <xdr:rowOff>153194</xdr:rowOff>
    </xdr:from>
    <xdr:to>
      <xdr:col>7</xdr:col>
      <xdr:colOff>677069</xdr:colOff>
      <xdr:row>20</xdr:row>
      <xdr:rowOff>57944</xdr:rowOff>
    </xdr:to>
    <xdr:cxnSp macro="">
      <xdr:nvCxnSpPr>
        <xdr:cNvPr id="17" name="Straight Arrow Connector 16"/>
        <xdr:cNvCxnSpPr/>
      </xdr:nvCxnSpPr>
      <xdr:spPr>
        <a:xfrm rot="5400000">
          <a:off x="5591175" y="3000375"/>
          <a:ext cx="26670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2</xdr:row>
      <xdr:rowOff>28575</xdr:rowOff>
    </xdr:from>
    <xdr:to>
      <xdr:col>6</xdr:col>
      <xdr:colOff>666750</xdr:colOff>
      <xdr:row>3</xdr:row>
      <xdr:rowOff>19050</xdr:rowOff>
    </xdr:to>
    <xdr:sp macro="" textlink="">
      <xdr:nvSpPr>
        <xdr:cNvPr id="18" name="TextBox 17"/>
        <xdr:cNvSpPr txBox="1"/>
      </xdr:nvSpPr>
      <xdr:spPr>
        <a:xfrm>
          <a:off x="4486275" y="390525"/>
          <a:ext cx="542925" cy="1714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400" b="1">
              <a:cs typeface="+mn-cs"/>
            </a:rPr>
            <a:t>b</a:t>
          </a:r>
          <a:endParaRPr lang="fa-IR" sz="1400" b="1">
            <a:cs typeface="+mn-cs"/>
          </a:endParaRPr>
        </a:p>
      </xdr:txBody>
    </xdr:sp>
    <xdr:clientData/>
  </xdr:twoCellAnchor>
  <xdr:twoCellAnchor>
    <xdr:from>
      <xdr:col>7</xdr:col>
      <xdr:colOff>419100</xdr:colOff>
      <xdr:row>12</xdr:row>
      <xdr:rowOff>104775</xdr:rowOff>
    </xdr:from>
    <xdr:to>
      <xdr:col>8</xdr:col>
      <xdr:colOff>276225</xdr:colOff>
      <xdr:row>13</xdr:row>
      <xdr:rowOff>95250</xdr:rowOff>
    </xdr:to>
    <xdr:sp macro="" textlink="">
      <xdr:nvSpPr>
        <xdr:cNvPr id="19" name="TextBox 18"/>
        <xdr:cNvSpPr txBox="1"/>
      </xdr:nvSpPr>
      <xdr:spPr>
        <a:xfrm>
          <a:off x="5467350" y="1733550"/>
          <a:ext cx="542925" cy="1714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400" b="1">
              <a:cs typeface="+mn-cs"/>
            </a:rPr>
            <a:t>d</a:t>
          </a:r>
          <a:endParaRPr lang="fa-IR" sz="1400" b="1">
            <a:cs typeface="+mn-cs"/>
          </a:endParaRPr>
        </a:p>
      </xdr:txBody>
    </xdr:sp>
    <xdr:clientData/>
  </xdr:twoCellAnchor>
  <xdr:twoCellAnchor>
    <xdr:from>
      <xdr:col>8</xdr:col>
      <xdr:colOff>114300</xdr:colOff>
      <xdr:row>3</xdr:row>
      <xdr:rowOff>133350</xdr:rowOff>
    </xdr:from>
    <xdr:to>
      <xdr:col>8</xdr:col>
      <xdr:colOff>533399</xdr:colOff>
      <xdr:row>4</xdr:row>
      <xdr:rowOff>152400</xdr:rowOff>
    </xdr:to>
    <xdr:sp macro="" textlink="">
      <xdr:nvSpPr>
        <xdr:cNvPr id="24" name="TextBox 23"/>
        <xdr:cNvSpPr txBox="1"/>
      </xdr:nvSpPr>
      <xdr:spPr>
        <a:xfrm>
          <a:off x="5848350" y="676275"/>
          <a:ext cx="419099" cy="2000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400" b="1">
              <a:cs typeface="+mn-cs"/>
            </a:rPr>
            <a:t>t1</a:t>
          </a:r>
          <a:endParaRPr lang="fa-IR" sz="1400" b="1">
            <a:cs typeface="+mn-cs"/>
          </a:endParaRPr>
        </a:p>
      </xdr:txBody>
    </xdr:sp>
    <xdr:clientData/>
  </xdr:twoCellAnchor>
  <xdr:twoCellAnchor>
    <xdr:from>
      <xdr:col>6</xdr:col>
      <xdr:colOff>476250</xdr:colOff>
      <xdr:row>16</xdr:row>
      <xdr:rowOff>161925</xdr:rowOff>
    </xdr:from>
    <xdr:to>
      <xdr:col>7</xdr:col>
      <xdr:colOff>161925</xdr:colOff>
      <xdr:row>17</xdr:row>
      <xdr:rowOff>161925</xdr:rowOff>
    </xdr:to>
    <xdr:sp macro="" textlink="">
      <xdr:nvSpPr>
        <xdr:cNvPr id="25" name="TextBox 24"/>
        <xdr:cNvSpPr txBox="1"/>
      </xdr:nvSpPr>
      <xdr:spPr>
        <a:xfrm>
          <a:off x="4838700" y="2514600"/>
          <a:ext cx="371475" cy="1809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400" b="1">
              <a:cs typeface="+mn-cs"/>
            </a:rPr>
            <a:t>t2</a:t>
          </a:r>
          <a:endParaRPr lang="fa-IR" sz="1400" b="1">
            <a:cs typeface="+mn-cs"/>
          </a:endParaRPr>
        </a:p>
      </xdr:txBody>
    </xdr:sp>
    <xdr:clientData/>
  </xdr:twoCellAnchor>
  <xdr:twoCellAnchor>
    <xdr:from>
      <xdr:col>6</xdr:col>
      <xdr:colOff>85725</xdr:colOff>
      <xdr:row>17</xdr:row>
      <xdr:rowOff>71438</xdr:rowOff>
    </xdr:from>
    <xdr:to>
      <xdr:col>6</xdr:col>
      <xdr:colOff>504825</xdr:colOff>
      <xdr:row>17</xdr:row>
      <xdr:rowOff>76200</xdr:rowOff>
    </xdr:to>
    <xdr:cxnSp macro="">
      <xdr:nvCxnSpPr>
        <xdr:cNvPr id="32" name="Straight Arrow Connector 31"/>
        <xdr:cNvCxnSpPr/>
      </xdr:nvCxnSpPr>
      <xdr:spPr>
        <a:xfrm flipV="1">
          <a:off x="4448175" y="2605088"/>
          <a:ext cx="419100" cy="4762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19</xdr:row>
      <xdr:rowOff>19050</xdr:rowOff>
    </xdr:from>
    <xdr:to>
      <xdr:col>8</xdr:col>
      <xdr:colOff>457200</xdr:colOff>
      <xdr:row>20</xdr:row>
      <xdr:rowOff>19050</xdr:rowOff>
    </xdr:to>
    <xdr:sp macro="" textlink="">
      <xdr:nvSpPr>
        <xdr:cNvPr id="35" name="TextBox 34"/>
        <xdr:cNvSpPr txBox="1"/>
      </xdr:nvSpPr>
      <xdr:spPr>
        <a:xfrm>
          <a:off x="5819775" y="2914650"/>
          <a:ext cx="371475" cy="1809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400" b="1">
              <a:cs typeface="+mn-cs"/>
            </a:rPr>
            <a:t>t1</a:t>
          </a:r>
          <a:endParaRPr lang="fa-IR" sz="1400" b="1"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54239</xdr:colOff>
      <xdr:row>2</xdr:row>
      <xdr:rowOff>163636</xdr:rowOff>
    </xdr:from>
    <xdr:to>
      <xdr:col>14</xdr:col>
      <xdr:colOff>563560</xdr:colOff>
      <xdr:row>26</xdr:row>
      <xdr:rowOff>134328</xdr:rowOff>
    </xdr:to>
    <xdr:grpSp>
      <xdr:nvGrpSpPr>
        <xdr:cNvPr id="128" name="Group 127"/>
        <xdr:cNvGrpSpPr/>
      </xdr:nvGrpSpPr>
      <xdr:grpSpPr>
        <a:xfrm>
          <a:off x="3006989" y="608136"/>
          <a:ext cx="6637071" cy="4764942"/>
          <a:chOff x="4107656" y="762916"/>
          <a:chExt cx="5619750" cy="4745099"/>
        </a:xfrm>
      </xdr:grpSpPr>
      <xdr:sp macro="" textlink="">
        <xdr:nvSpPr>
          <xdr:cNvPr id="45" name="Rectangle 44"/>
          <xdr:cNvSpPr/>
        </xdr:nvSpPr>
        <xdr:spPr>
          <a:xfrm>
            <a:off x="4107656" y="762916"/>
            <a:ext cx="5619750" cy="4745099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46" name="Rectangle 45"/>
          <xdr:cNvSpPr/>
        </xdr:nvSpPr>
        <xdr:spPr>
          <a:xfrm>
            <a:off x="6768181" y="1853204"/>
            <a:ext cx="2041161" cy="2291249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cxnSp macro="">
        <xdr:nvCxnSpPr>
          <xdr:cNvPr id="48" name="Straight Connector 47"/>
          <xdr:cNvCxnSpPr/>
        </xdr:nvCxnSpPr>
        <xdr:spPr>
          <a:xfrm rot="10800000">
            <a:off x="4727020" y="1852482"/>
            <a:ext cx="2041161" cy="2021"/>
          </a:xfrm>
          <a:prstGeom prst="line">
            <a:avLst/>
          </a:prstGeom>
          <a:effectLst>
            <a:outerShdw sx="1000" sy="1000" rotWithShape="0">
              <a:srgbClr val="000000"/>
            </a:outerShdw>
          </a:effectLst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Straight Connector 48"/>
          <xdr:cNvCxnSpPr/>
        </xdr:nvCxnSpPr>
        <xdr:spPr>
          <a:xfrm rot="10800000">
            <a:off x="4719646" y="4139871"/>
            <a:ext cx="2041161" cy="2021"/>
          </a:xfrm>
          <a:prstGeom prst="line">
            <a:avLst/>
          </a:prstGeom>
          <a:effectLst>
            <a:outerShdw sx="1000" sy="1000" rotWithShape="0">
              <a:srgbClr val="000000"/>
            </a:outerShdw>
          </a:effectLst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Straight Connector 50"/>
          <xdr:cNvCxnSpPr/>
        </xdr:nvCxnSpPr>
        <xdr:spPr>
          <a:xfrm rot="5400000" flipH="1" flipV="1">
            <a:off x="6648248" y="1979876"/>
            <a:ext cx="2280083" cy="2040217"/>
          </a:xfrm>
          <a:prstGeom prst="line">
            <a:avLst/>
          </a:prstGeom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Straight Connector 54"/>
          <xdr:cNvCxnSpPr/>
        </xdr:nvCxnSpPr>
        <xdr:spPr>
          <a:xfrm rot="16200000" flipH="1">
            <a:off x="6648252" y="1986608"/>
            <a:ext cx="2280079" cy="2040219"/>
          </a:xfrm>
          <a:prstGeom prst="line">
            <a:avLst/>
          </a:prstGeom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Straight Connector 59"/>
          <xdr:cNvCxnSpPr/>
        </xdr:nvCxnSpPr>
        <xdr:spPr>
          <a:xfrm rot="10800000" flipV="1">
            <a:off x="4719094" y="1858474"/>
            <a:ext cx="2055088" cy="2291800"/>
          </a:xfrm>
          <a:prstGeom prst="line">
            <a:avLst/>
          </a:prstGeom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63" name="Straight Connector 62"/>
          <xdr:cNvCxnSpPr/>
        </xdr:nvCxnSpPr>
        <xdr:spPr>
          <a:xfrm>
            <a:off x="4719094" y="1855841"/>
            <a:ext cx="2050651" cy="2283891"/>
          </a:xfrm>
          <a:prstGeom prst="line">
            <a:avLst/>
          </a:prstGeom>
          <a:effectLst>
            <a:outerShdw dist="20000" sx="1000" sy="1000" rotWithShape="0">
              <a:srgbClr val="000000"/>
            </a:outerShdw>
          </a:effectLst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4" name="Flowchart: Connector 63"/>
          <xdr:cNvSpPr/>
        </xdr:nvSpPr>
        <xdr:spPr>
          <a:xfrm>
            <a:off x="4688430" y="1795602"/>
            <a:ext cx="88951" cy="111093"/>
          </a:xfrm>
          <a:prstGeom prst="flowChartConnector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65" name="Flowchart: Connector 64"/>
          <xdr:cNvSpPr/>
        </xdr:nvSpPr>
        <xdr:spPr>
          <a:xfrm>
            <a:off x="6728713" y="1799064"/>
            <a:ext cx="88951" cy="115254"/>
          </a:xfrm>
          <a:prstGeom prst="flowChartConnector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66" name="Flowchart: Connector 65"/>
          <xdr:cNvSpPr/>
        </xdr:nvSpPr>
        <xdr:spPr>
          <a:xfrm>
            <a:off x="8760810" y="1813328"/>
            <a:ext cx="88951" cy="115254"/>
          </a:xfrm>
          <a:prstGeom prst="flowChartConnector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67" name="Flowchart: Connector 66"/>
          <xdr:cNvSpPr/>
        </xdr:nvSpPr>
        <xdr:spPr>
          <a:xfrm>
            <a:off x="4710381" y="4069441"/>
            <a:ext cx="88951" cy="111094"/>
          </a:xfrm>
          <a:prstGeom prst="flowChartConnector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68" name="Flowchart: Connector 67"/>
          <xdr:cNvSpPr/>
        </xdr:nvSpPr>
        <xdr:spPr>
          <a:xfrm>
            <a:off x="6729066" y="4079149"/>
            <a:ext cx="88951" cy="114462"/>
          </a:xfrm>
          <a:prstGeom prst="flowChartConnector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69" name="Flowchart: Connector 68"/>
          <xdr:cNvSpPr/>
        </xdr:nvSpPr>
        <xdr:spPr>
          <a:xfrm>
            <a:off x="8768577" y="4084302"/>
            <a:ext cx="88951" cy="114462"/>
          </a:xfrm>
          <a:prstGeom prst="flowChartConnector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70" name="Isosceles Triangle 69"/>
          <xdr:cNvSpPr/>
        </xdr:nvSpPr>
        <xdr:spPr>
          <a:xfrm rot="5400000">
            <a:off x="4520670" y="1807606"/>
            <a:ext cx="252594" cy="82597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71" name="Isosceles Triangle 70"/>
          <xdr:cNvSpPr/>
        </xdr:nvSpPr>
        <xdr:spPr>
          <a:xfrm rot="5400000">
            <a:off x="4543453" y="4093110"/>
            <a:ext cx="252596" cy="82597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72" name="TextBox 71"/>
          <xdr:cNvSpPr txBox="1"/>
        </xdr:nvSpPr>
        <xdr:spPr>
          <a:xfrm>
            <a:off x="4690246" y="1626591"/>
            <a:ext cx="100297" cy="13856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5</a:t>
            </a:r>
            <a:endParaRPr lang="fa-IR" sz="1100"/>
          </a:p>
        </xdr:txBody>
      </xdr:sp>
      <xdr:sp macro="" textlink="">
        <xdr:nvSpPr>
          <xdr:cNvPr id="73" name="TextBox 72"/>
          <xdr:cNvSpPr txBox="1"/>
        </xdr:nvSpPr>
        <xdr:spPr>
          <a:xfrm>
            <a:off x="4688143" y="4234413"/>
            <a:ext cx="100297" cy="1400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6</a:t>
            </a:r>
            <a:endParaRPr lang="fa-IR" sz="1100"/>
          </a:p>
        </xdr:txBody>
      </xdr:sp>
      <xdr:sp macro="" textlink="">
        <xdr:nvSpPr>
          <xdr:cNvPr id="75" name="TextBox 74"/>
          <xdr:cNvSpPr txBox="1"/>
        </xdr:nvSpPr>
        <xdr:spPr>
          <a:xfrm>
            <a:off x="6668354" y="1613206"/>
            <a:ext cx="100297" cy="13856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3</a:t>
            </a:r>
            <a:endParaRPr lang="fa-IR" sz="1100"/>
          </a:p>
        </xdr:txBody>
      </xdr:sp>
      <xdr:sp macro="" textlink="">
        <xdr:nvSpPr>
          <xdr:cNvPr id="76" name="TextBox 75"/>
          <xdr:cNvSpPr txBox="1"/>
        </xdr:nvSpPr>
        <xdr:spPr>
          <a:xfrm>
            <a:off x="6668353" y="4234414"/>
            <a:ext cx="100297" cy="1400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4</a:t>
            </a:r>
            <a:endParaRPr lang="fa-IR" sz="1100"/>
          </a:p>
        </xdr:txBody>
      </xdr:sp>
      <xdr:sp macro="" textlink="">
        <xdr:nvSpPr>
          <xdr:cNvPr id="77" name="TextBox 76"/>
          <xdr:cNvSpPr txBox="1"/>
        </xdr:nvSpPr>
        <xdr:spPr>
          <a:xfrm>
            <a:off x="8707713" y="1639188"/>
            <a:ext cx="100297" cy="13856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1</a:t>
            </a:r>
            <a:endParaRPr lang="fa-IR" sz="1100"/>
          </a:p>
        </xdr:txBody>
      </xdr:sp>
      <xdr:sp macro="" textlink="">
        <xdr:nvSpPr>
          <xdr:cNvPr id="78" name="TextBox 77"/>
          <xdr:cNvSpPr txBox="1"/>
        </xdr:nvSpPr>
        <xdr:spPr>
          <a:xfrm>
            <a:off x="8707712" y="4225754"/>
            <a:ext cx="100297" cy="1400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2</a:t>
            </a:r>
            <a:endParaRPr lang="fa-IR" sz="1100"/>
          </a:p>
        </xdr:txBody>
      </xdr:sp>
      <xdr:cxnSp macro="">
        <xdr:nvCxnSpPr>
          <xdr:cNvPr id="80" name="Straight Arrow Connector 79"/>
          <xdr:cNvCxnSpPr/>
        </xdr:nvCxnSpPr>
        <xdr:spPr>
          <a:xfrm rot="5400000" flipH="1" flipV="1">
            <a:off x="4606459" y="1351736"/>
            <a:ext cx="321876" cy="18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Arrow Connector 84"/>
          <xdr:cNvCxnSpPr/>
        </xdr:nvCxnSpPr>
        <xdr:spPr>
          <a:xfrm>
            <a:off x="4767398" y="1509676"/>
            <a:ext cx="308605" cy="20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" name="TextBox 85"/>
          <xdr:cNvSpPr txBox="1"/>
        </xdr:nvSpPr>
        <xdr:spPr>
          <a:xfrm>
            <a:off x="5092760" y="1429895"/>
            <a:ext cx="100297" cy="14000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3</a:t>
            </a:r>
            <a:endParaRPr lang="fa-IR" sz="1100"/>
          </a:p>
        </xdr:txBody>
      </xdr:sp>
      <xdr:sp macro="" textlink="">
        <xdr:nvSpPr>
          <xdr:cNvPr id="87" name="TextBox 86"/>
          <xdr:cNvSpPr txBox="1"/>
        </xdr:nvSpPr>
        <xdr:spPr>
          <a:xfrm>
            <a:off x="4672712" y="1002650"/>
            <a:ext cx="100297" cy="14001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4</a:t>
            </a:r>
            <a:endParaRPr lang="fa-IR" sz="1100"/>
          </a:p>
        </xdr:txBody>
      </xdr:sp>
      <xdr:cxnSp macro="">
        <xdr:nvCxnSpPr>
          <xdr:cNvPr id="99" name="Straight Arrow Connector 98"/>
          <xdr:cNvCxnSpPr/>
        </xdr:nvCxnSpPr>
        <xdr:spPr>
          <a:xfrm>
            <a:off x="6756179" y="1502940"/>
            <a:ext cx="312033" cy="20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Arrow Connector 100"/>
          <xdr:cNvCxnSpPr/>
        </xdr:nvCxnSpPr>
        <xdr:spPr>
          <a:xfrm rot="5400000" flipH="1" flipV="1">
            <a:off x="6602941" y="1349810"/>
            <a:ext cx="306480" cy="18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TextBox 101"/>
          <xdr:cNvSpPr txBox="1"/>
        </xdr:nvSpPr>
        <xdr:spPr>
          <a:xfrm>
            <a:off x="6656352" y="1022856"/>
            <a:ext cx="100297" cy="14001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8</a:t>
            </a:r>
            <a:endParaRPr lang="fa-IR" sz="1100"/>
          </a:p>
        </xdr:txBody>
      </xdr:sp>
      <xdr:sp macro="" textlink="">
        <xdr:nvSpPr>
          <xdr:cNvPr id="103" name="TextBox 102"/>
          <xdr:cNvSpPr txBox="1"/>
        </xdr:nvSpPr>
        <xdr:spPr>
          <a:xfrm>
            <a:off x="7094397" y="1427006"/>
            <a:ext cx="100297" cy="1400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7</a:t>
            </a:r>
            <a:endParaRPr lang="fa-IR" sz="1100"/>
          </a:p>
        </xdr:txBody>
      </xdr:sp>
      <xdr:cxnSp macro="">
        <xdr:nvCxnSpPr>
          <xdr:cNvPr id="105" name="Straight Arrow Connector 104"/>
          <xdr:cNvCxnSpPr/>
        </xdr:nvCxnSpPr>
        <xdr:spPr>
          <a:xfrm>
            <a:off x="8808398" y="1546724"/>
            <a:ext cx="306032" cy="20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Straight Arrow Connector 106"/>
          <xdr:cNvCxnSpPr/>
        </xdr:nvCxnSpPr>
        <xdr:spPr>
          <a:xfrm rot="5400000" flipH="1" flipV="1">
            <a:off x="8661758" y="1405863"/>
            <a:ext cx="291566" cy="18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TextBox 109"/>
          <xdr:cNvSpPr txBox="1"/>
        </xdr:nvSpPr>
        <xdr:spPr>
          <a:xfrm>
            <a:off x="9152149" y="1357718"/>
            <a:ext cx="365181" cy="39588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l"/>
            <a:r>
              <a:rPr lang="en-US" sz="900"/>
              <a:t>11</a:t>
            </a:r>
            <a:endParaRPr lang="fa-IR" sz="900"/>
          </a:p>
        </xdr:txBody>
      </xdr:sp>
      <xdr:sp macro="" textlink="">
        <xdr:nvSpPr>
          <xdr:cNvPr id="111" name="TextBox 110"/>
          <xdr:cNvSpPr txBox="1"/>
        </xdr:nvSpPr>
        <xdr:spPr>
          <a:xfrm>
            <a:off x="8625419" y="1036584"/>
            <a:ext cx="362609" cy="19525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b"/>
          <a:lstStyle/>
          <a:p>
            <a:pPr algn="ctr"/>
            <a:r>
              <a:rPr lang="en-US" sz="900"/>
              <a:t>12</a:t>
            </a:r>
            <a:endParaRPr lang="fa-IR" sz="900"/>
          </a:p>
        </xdr:txBody>
      </xdr:sp>
      <xdr:cxnSp macro="">
        <xdr:nvCxnSpPr>
          <xdr:cNvPr id="113" name="Straight Arrow Connector 112"/>
          <xdr:cNvCxnSpPr/>
        </xdr:nvCxnSpPr>
        <xdr:spPr>
          <a:xfrm>
            <a:off x="4751968" y="5056115"/>
            <a:ext cx="349751" cy="20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Straight Arrow Connector 114"/>
          <xdr:cNvCxnSpPr/>
        </xdr:nvCxnSpPr>
        <xdr:spPr>
          <a:xfrm rot="5400000" flipH="1" flipV="1">
            <a:off x="4593916" y="4896730"/>
            <a:ext cx="316103" cy="18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Box 115"/>
          <xdr:cNvSpPr txBox="1"/>
        </xdr:nvSpPr>
        <xdr:spPr>
          <a:xfrm>
            <a:off x="4567277" y="4580819"/>
            <a:ext cx="365181" cy="14619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900"/>
              <a:t>2</a:t>
            </a:r>
            <a:endParaRPr lang="fa-IR" sz="900"/>
          </a:p>
        </xdr:txBody>
      </xdr:sp>
      <xdr:cxnSp macro="">
        <xdr:nvCxnSpPr>
          <xdr:cNvPr id="118" name="Straight Arrow Connector 117"/>
          <xdr:cNvCxnSpPr/>
        </xdr:nvCxnSpPr>
        <xdr:spPr>
          <a:xfrm>
            <a:off x="6759180" y="5081359"/>
            <a:ext cx="310533" cy="20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Straight Arrow Connector 119"/>
          <xdr:cNvCxnSpPr/>
        </xdr:nvCxnSpPr>
        <xdr:spPr>
          <a:xfrm rot="5400000" flipH="1" flipV="1">
            <a:off x="6615202" y="4937491"/>
            <a:ext cx="287956" cy="18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TextBox 120"/>
          <xdr:cNvSpPr txBox="1"/>
        </xdr:nvSpPr>
        <xdr:spPr>
          <a:xfrm>
            <a:off x="5130000" y="4948172"/>
            <a:ext cx="224848" cy="2284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l"/>
            <a:r>
              <a:rPr lang="en-US" sz="900"/>
              <a:t>1</a:t>
            </a:r>
            <a:endParaRPr lang="fa-IR" sz="900"/>
          </a:p>
        </xdr:txBody>
      </xdr:sp>
      <xdr:sp macro="" textlink="">
        <xdr:nvSpPr>
          <xdr:cNvPr id="122" name="TextBox 121"/>
          <xdr:cNvSpPr txBox="1"/>
        </xdr:nvSpPr>
        <xdr:spPr>
          <a:xfrm flipH="1">
            <a:off x="7089560" y="4966088"/>
            <a:ext cx="51845" cy="2284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900"/>
              <a:t>5</a:t>
            </a:r>
            <a:endParaRPr lang="fa-IR" sz="900"/>
          </a:p>
        </xdr:txBody>
      </xdr:sp>
      <xdr:sp macro="" textlink="">
        <xdr:nvSpPr>
          <xdr:cNvPr id="123" name="TextBox 122"/>
          <xdr:cNvSpPr txBox="1"/>
        </xdr:nvSpPr>
        <xdr:spPr>
          <a:xfrm>
            <a:off x="6629893" y="4639017"/>
            <a:ext cx="136875" cy="12913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r"/>
            <a:r>
              <a:rPr lang="en-US" sz="900"/>
              <a:t>6</a:t>
            </a:r>
            <a:endParaRPr lang="fa-IR" sz="900"/>
          </a:p>
        </xdr:txBody>
      </xdr:sp>
      <xdr:cxnSp macro="">
        <xdr:nvCxnSpPr>
          <xdr:cNvPr id="125" name="Straight Arrow Connector 124"/>
          <xdr:cNvCxnSpPr/>
        </xdr:nvCxnSpPr>
        <xdr:spPr>
          <a:xfrm>
            <a:off x="8811398" y="5056100"/>
            <a:ext cx="306032" cy="20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Straight Arrow Connector 126"/>
          <xdr:cNvCxnSpPr/>
        </xdr:nvCxnSpPr>
        <xdr:spPr>
          <a:xfrm rot="5400000" flipH="1" flipV="1">
            <a:off x="8667420" y="4917284"/>
            <a:ext cx="287956" cy="18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" name="TextBox 129"/>
          <xdr:cNvSpPr txBox="1"/>
        </xdr:nvSpPr>
        <xdr:spPr>
          <a:xfrm flipH="1">
            <a:off x="9150157" y="4950926"/>
            <a:ext cx="51845" cy="2284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900"/>
              <a:t>9</a:t>
            </a:r>
            <a:endParaRPr lang="fa-IR" sz="900"/>
          </a:p>
        </xdr:txBody>
      </xdr:sp>
      <xdr:sp macro="" textlink="">
        <xdr:nvSpPr>
          <xdr:cNvPr id="131" name="TextBox 130"/>
          <xdr:cNvSpPr txBox="1"/>
        </xdr:nvSpPr>
        <xdr:spPr>
          <a:xfrm flipH="1">
            <a:off x="8637591" y="4580926"/>
            <a:ext cx="349961" cy="15763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900"/>
              <a:t>10</a:t>
            </a:r>
            <a:endParaRPr lang="fa-IR" sz="900"/>
          </a:p>
        </xdr:txBody>
      </xdr:sp>
      <xdr:cxnSp macro="">
        <xdr:nvCxnSpPr>
          <xdr:cNvPr id="133" name="Straight Arrow Connector 132"/>
          <xdr:cNvCxnSpPr/>
        </xdr:nvCxnSpPr>
        <xdr:spPr>
          <a:xfrm>
            <a:off x="4760968" y="4466714"/>
            <a:ext cx="2025216" cy="2021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Straight Arrow Connector 134"/>
          <xdr:cNvCxnSpPr/>
        </xdr:nvCxnSpPr>
        <xdr:spPr>
          <a:xfrm>
            <a:off x="6774181" y="4470046"/>
            <a:ext cx="2061218" cy="2021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Arrow Connector 136"/>
          <xdr:cNvCxnSpPr/>
        </xdr:nvCxnSpPr>
        <xdr:spPr>
          <a:xfrm rot="5400000">
            <a:off x="8011127" y="3000093"/>
            <a:ext cx="2266613" cy="1801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" name="Straight Connector 138"/>
          <xdr:cNvCxnSpPr/>
        </xdr:nvCxnSpPr>
        <xdr:spPr>
          <a:xfrm>
            <a:off x="9054424" y="1866675"/>
            <a:ext cx="192020" cy="202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Connector 140"/>
          <xdr:cNvCxnSpPr/>
        </xdr:nvCxnSpPr>
        <xdr:spPr>
          <a:xfrm>
            <a:off x="9054424" y="4140024"/>
            <a:ext cx="186020" cy="202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Straight Connector 154"/>
          <xdr:cNvCxnSpPr/>
        </xdr:nvCxnSpPr>
        <xdr:spPr>
          <a:xfrm rot="5400000">
            <a:off x="6690449" y="4460837"/>
            <a:ext cx="174051" cy="12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Straight Connector 156"/>
          <xdr:cNvCxnSpPr/>
        </xdr:nvCxnSpPr>
        <xdr:spPr>
          <a:xfrm rot="5400000">
            <a:off x="8758459" y="4466160"/>
            <a:ext cx="155698" cy="25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Straight Connector 160"/>
          <xdr:cNvCxnSpPr/>
        </xdr:nvCxnSpPr>
        <xdr:spPr>
          <a:xfrm rot="5400000">
            <a:off x="4688776" y="4464965"/>
            <a:ext cx="133787" cy="18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TextBox 161"/>
          <xdr:cNvSpPr txBox="1"/>
        </xdr:nvSpPr>
        <xdr:spPr>
          <a:xfrm>
            <a:off x="5693654" y="4364515"/>
            <a:ext cx="361280" cy="23168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 b="1"/>
              <a:t>L</a:t>
            </a:r>
            <a:endParaRPr lang="fa-IR" sz="1100" b="1"/>
          </a:p>
        </xdr:txBody>
      </xdr:sp>
      <xdr:sp macro="" textlink="">
        <xdr:nvSpPr>
          <xdr:cNvPr id="163" name="TextBox 162"/>
          <xdr:cNvSpPr txBox="1"/>
        </xdr:nvSpPr>
        <xdr:spPr>
          <a:xfrm>
            <a:off x="7674485" y="4339430"/>
            <a:ext cx="405974" cy="2567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 b="1"/>
              <a:t>L</a:t>
            </a:r>
            <a:endParaRPr lang="fa-IR" sz="1100" b="1"/>
          </a:p>
        </xdr:txBody>
      </xdr:sp>
      <xdr:sp macro="" textlink="">
        <xdr:nvSpPr>
          <xdr:cNvPr id="164" name="TextBox 163"/>
          <xdr:cNvSpPr txBox="1"/>
        </xdr:nvSpPr>
        <xdr:spPr>
          <a:xfrm>
            <a:off x="9055809" y="2812285"/>
            <a:ext cx="203561" cy="38783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t"/>
          <a:lstStyle/>
          <a:p>
            <a:pPr algn="ctr"/>
            <a:r>
              <a:rPr lang="en-US" sz="1100" b="1"/>
              <a:t>h</a:t>
            </a:r>
            <a:endParaRPr lang="fa-IR" sz="1100" b="1"/>
          </a:p>
        </xdr:txBody>
      </xdr:sp>
      <xdr:sp macro="" textlink="">
        <xdr:nvSpPr>
          <xdr:cNvPr id="167" name="Flowchart: Connector 166"/>
          <xdr:cNvSpPr/>
        </xdr:nvSpPr>
        <xdr:spPr>
          <a:xfrm>
            <a:off x="5679061" y="1479371"/>
            <a:ext cx="288038" cy="333415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1</a:t>
            </a:r>
            <a:endParaRPr lang="fa-IR" sz="800"/>
          </a:p>
        </xdr:txBody>
      </xdr:sp>
      <xdr:sp macro="" textlink="">
        <xdr:nvSpPr>
          <xdr:cNvPr id="173" name="Flowchart: Connector 172"/>
          <xdr:cNvSpPr/>
        </xdr:nvSpPr>
        <xdr:spPr>
          <a:xfrm>
            <a:off x="7692014" y="1480283"/>
            <a:ext cx="300298" cy="333415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2</a:t>
            </a:r>
            <a:endParaRPr lang="fa-IR" sz="800"/>
          </a:p>
        </xdr:txBody>
      </xdr:sp>
      <xdr:sp macro="" textlink="">
        <xdr:nvSpPr>
          <xdr:cNvPr id="174" name="Flowchart: Connector 173"/>
          <xdr:cNvSpPr/>
        </xdr:nvSpPr>
        <xdr:spPr>
          <a:xfrm>
            <a:off x="5666796" y="3763738"/>
            <a:ext cx="291304" cy="333415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3</a:t>
            </a:r>
            <a:endParaRPr lang="fa-IR" sz="800"/>
          </a:p>
        </xdr:txBody>
      </xdr:sp>
      <xdr:sp macro="" textlink="">
        <xdr:nvSpPr>
          <xdr:cNvPr id="175" name="Flowchart: Connector 174"/>
          <xdr:cNvSpPr/>
        </xdr:nvSpPr>
        <xdr:spPr>
          <a:xfrm>
            <a:off x="7704281" y="3763738"/>
            <a:ext cx="315036" cy="333415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4</a:t>
            </a:r>
            <a:endParaRPr lang="fa-IR" sz="800"/>
          </a:p>
        </xdr:txBody>
      </xdr:sp>
      <xdr:sp macro="" textlink="">
        <xdr:nvSpPr>
          <xdr:cNvPr id="176" name="Flowchart: Connector 175"/>
          <xdr:cNvSpPr/>
        </xdr:nvSpPr>
        <xdr:spPr>
          <a:xfrm>
            <a:off x="6809914" y="2803878"/>
            <a:ext cx="273300" cy="333415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5</a:t>
            </a:r>
            <a:endParaRPr lang="fa-IR" sz="800"/>
          </a:p>
        </xdr:txBody>
      </xdr:sp>
      <xdr:sp macro="" textlink="">
        <xdr:nvSpPr>
          <xdr:cNvPr id="177" name="Flowchart: Connector 176"/>
          <xdr:cNvSpPr/>
        </xdr:nvSpPr>
        <xdr:spPr>
          <a:xfrm>
            <a:off x="8469362" y="2844293"/>
            <a:ext cx="284765" cy="333415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6</a:t>
            </a:r>
            <a:endParaRPr lang="fa-IR" sz="800"/>
          </a:p>
        </xdr:txBody>
      </xdr:sp>
      <xdr:sp macro="" textlink="">
        <xdr:nvSpPr>
          <xdr:cNvPr id="178" name="Flowchart: Connector 177"/>
          <xdr:cNvSpPr/>
        </xdr:nvSpPr>
        <xdr:spPr>
          <a:xfrm>
            <a:off x="6080836" y="3096888"/>
            <a:ext cx="291304" cy="333415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7</a:t>
            </a:r>
            <a:endParaRPr lang="fa-IR" sz="800"/>
          </a:p>
        </xdr:txBody>
      </xdr:sp>
      <xdr:sp macro="" textlink="">
        <xdr:nvSpPr>
          <xdr:cNvPr id="179" name="Flowchart: Connector 178"/>
          <xdr:cNvSpPr/>
        </xdr:nvSpPr>
        <xdr:spPr>
          <a:xfrm>
            <a:off x="5927821" y="2187547"/>
            <a:ext cx="291304" cy="333415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8</a:t>
            </a:r>
            <a:endParaRPr lang="fa-IR" sz="800"/>
          </a:p>
        </xdr:txBody>
      </xdr:sp>
      <xdr:sp macro="" textlink="">
        <xdr:nvSpPr>
          <xdr:cNvPr id="180" name="Flowchart: Connector 179"/>
          <xdr:cNvSpPr/>
        </xdr:nvSpPr>
        <xdr:spPr>
          <a:xfrm>
            <a:off x="8151056" y="3127199"/>
            <a:ext cx="291304" cy="333415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9</a:t>
            </a:r>
            <a:endParaRPr lang="fa-IR" sz="800"/>
          </a:p>
        </xdr:txBody>
      </xdr:sp>
      <xdr:sp macro="" textlink="">
        <xdr:nvSpPr>
          <xdr:cNvPr id="181" name="Flowchart: Connector 180"/>
          <xdr:cNvSpPr/>
        </xdr:nvSpPr>
        <xdr:spPr>
          <a:xfrm>
            <a:off x="7896379" y="2227964"/>
            <a:ext cx="329526" cy="333415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700" b="1"/>
              <a:t>10</a:t>
            </a:r>
            <a:endParaRPr lang="fa-IR" sz="7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4999</xdr:colOff>
      <xdr:row>0</xdr:row>
      <xdr:rowOff>0</xdr:rowOff>
    </xdr:from>
    <xdr:to>
      <xdr:col>36</xdr:col>
      <xdr:colOff>411499</xdr:colOff>
      <xdr:row>19</xdr:row>
      <xdr:rowOff>151269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328854</xdr:colOff>
      <xdr:row>17</xdr:row>
      <xdr:rowOff>161004</xdr:rowOff>
    </xdr:from>
    <xdr:to>
      <xdr:col>21</xdr:col>
      <xdr:colOff>205947</xdr:colOff>
      <xdr:row>19</xdr:row>
      <xdr:rowOff>117230</xdr:rowOff>
    </xdr:to>
    <xdr:grpSp>
      <xdr:nvGrpSpPr>
        <xdr:cNvPr id="160" name="Group 159"/>
        <xdr:cNvGrpSpPr/>
      </xdr:nvGrpSpPr>
      <xdr:grpSpPr>
        <a:xfrm>
          <a:off x="6162917" y="3601910"/>
          <a:ext cx="6437436" cy="349133"/>
          <a:chOff x="7032989" y="3340889"/>
          <a:chExt cx="7445804" cy="337226"/>
        </a:xfrm>
      </xdr:grpSpPr>
      <xdr:cxnSp macro="">
        <xdr:nvCxnSpPr>
          <xdr:cNvPr id="150" name="Straight Arrow Connector 149"/>
          <xdr:cNvCxnSpPr>
            <a:stCxn id="18" idx="3"/>
            <a:endCxn id="19" idx="2"/>
          </xdr:cNvCxnSpPr>
        </xdr:nvCxnSpPr>
        <xdr:spPr>
          <a:xfrm rot="16200000" flipH="1">
            <a:off x="10716633" y="-342755"/>
            <a:ext cx="1588" cy="7368876"/>
          </a:xfrm>
          <a:prstGeom prst="straightConnector1">
            <a:avLst/>
          </a:prstGeom>
          <a:ln>
            <a:solidFill>
              <a:schemeClr val="accent1"/>
            </a:solidFill>
            <a:headEnd type="triangle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52" name="TextBox 151"/>
          <xdr:cNvSpPr txBox="1"/>
        </xdr:nvSpPr>
        <xdr:spPr>
          <a:xfrm>
            <a:off x="10660673" y="3348404"/>
            <a:ext cx="681404" cy="329711"/>
          </a:xfrm>
          <a:prstGeom prst="rect">
            <a:avLst/>
          </a:prstGeom>
          <a:solidFill>
            <a:schemeClr val="lt1"/>
          </a:solidFill>
          <a:ln w="9525" cmpd="sng">
            <a:noFill/>
            <a:headEnd type="triangle" w="med" len="med"/>
            <a:tailEnd type="triangl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 b="1"/>
              <a:t>4*L</a:t>
            </a:r>
            <a:endParaRPr lang="fa-IR" sz="1100" b="1"/>
          </a:p>
        </xdr:txBody>
      </xdr:sp>
      <xdr:cxnSp macro="">
        <xdr:nvCxnSpPr>
          <xdr:cNvPr id="156" name="Straight Connector 155"/>
          <xdr:cNvCxnSpPr/>
        </xdr:nvCxnSpPr>
        <xdr:spPr>
          <a:xfrm rot="5400000" flipH="1" flipV="1">
            <a:off x="7057096" y="3537633"/>
            <a:ext cx="144000" cy="1588"/>
          </a:xfrm>
          <a:prstGeom prst="line">
            <a:avLst/>
          </a:prstGeom>
          <a:ln>
            <a:solidFill>
              <a:schemeClr val="accent1"/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" name="Straight Connector 157"/>
          <xdr:cNvCxnSpPr/>
        </xdr:nvCxnSpPr>
        <xdr:spPr>
          <a:xfrm rot="5400000" flipH="1" flipV="1">
            <a:off x="14405999" y="3544961"/>
            <a:ext cx="144000" cy="1588"/>
          </a:xfrm>
          <a:prstGeom prst="line">
            <a:avLst/>
          </a:prstGeom>
          <a:ln>
            <a:solidFill>
              <a:schemeClr val="accent1"/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9768</xdr:colOff>
      <xdr:row>0</xdr:row>
      <xdr:rowOff>21981</xdr:rowOff>
    </xdr:from>
    <xdr:to>
      <xdr:col>22</xdr:col>
      <xdr:colOff>479768</xdr:colOff>
      <xdr:row>19</xdr:row>
      <xdr:rowOff>171981</xdr:rowOff>
    </xdr:to>
    <xdr:grpSp>
      <xdr:nvGrpSpPr>
        <xdr:cNvPr id="185" name="Group 184"/>
        <xdr:cNvGrpSpPr/>
      </xdr:nvGrpSpPr>
      <xdr:grpSpPr>
        <a:xfrm>
          <a:off x="5284237" y="21981"/>
          <a:ext cx="8185250" cy="3983813"/>
          <a:chOff x="6053813" y="21981"/>
          <a:chExt cx="9319591" cy="3908045"/>
        </a:xfrm>
      </xdr:grpSpPr>
      <xdr:grpSp>
        <xdr:nvGrpSpPr>
          <xdr:cNvPr id="174" name="Group 173"/>
          <xdr:cNvGrpSpPr/>
        </xdr:nvGrpSpPr>
        <xdr:grpSpPr>
          <a:xfrm>
            <a:off x="6053813" y="21981"/>
            <a:ext cx="9319591" cy="3908045"/>
            <a:chOff x="6053813" y="21981"/>
            <a:chExt cx="9319591" cy="3908045"/>
          </a:xfrm>
        </xdr:grpSpPr>
        <xdr:grpSp>
          <xdr:nvGrpSpPr>
            <xdr:cNvPr id="173" name="Group 172"/>
            <xdr:cNvGrpSpPr/>
          </xdr:nvGrpSpPr>
          <xdr:grpSpPr>
            <a:xfrm>
              <a:off x="6053813" y="21981"/>
              <a:ext cx="9319591" cy="3908045"/>
              <a:chOff x="6157056" y="35820"/>
              <a:chExt cx="9364885" cy="3886731"/>
            </a:xfrm>
          </xdr:grpSpPr>
          <xdr:grpSp>
            <xdr:nvGrpSpPr>
              <xdr:cNvPr id="172" name="Group 171"/>
              <xdr:cNvGrpSpPr/>
            </xdr:nvGrpSpPr>
            <xdr:grpSpPr>
              <a:xfrm>
                <a:off x="6157056" y="35820"/>
                <a:ext cx="9364885" cy="3886731"/>
                <a:chOff x="6157056" y="35820"/>
                <a:chExt cx="9364885" cy="3886731"/>
              </a:xfrm>
            </xdr:grpSpPr>
            <xdr:grpSp>
              <xdr:nvGrpSpPr>
                <xdr:cNvPr id="30" name="Group 29"/>
                <xdr:cNvGrpSpPr/>
              </xdr:nvGrpSpPr>
              <xdr:grpSpPr>
                <a:xfrm>
                  <a:off x="6157056" y="35820"/>
                  <a:ext cx="9364885" cy="3886731"/>
                  <a:chOff x="6100535" y="21167"/>
                  <a:chExt cx="9355464" cy="3535744"/>
                </a:xfrm>
              </xdr:grpSpPr>
              <xdr:grpSp>
                <xdr:nvGrpSpPr>
                  <xdr:cNvPr id="17" name="Group 16"/>
                  <xdr:cNvGrpSpPr/>
                </xdr:nvGrpSpPr>
                <xdr:grpSpPr>
                  <a:xfrm>
                    <a:off x="6100535" y="21167"/>
                    <a:ext cx="9355464" cy="3535744"/>
                    <a:chOff x="6100535" y="21167"/>
                    <a:chExt cx="9355464" cy="3535744"/>
                  </a:xfrm>
                </xdr:grpSpPr>
                <xdr:sp macro="" textlink="">
                  <xdr:nvSpPr>
                    <xdr:cNvPr id="3" name="Rectangle 2"/>
                    <xdr:cNvSpPr/>
                  </xdr:nvSpPr>
                  <xdr:spPr>
                    <a:xfrm>
                      <a:off x="6100535" y="21167"/>
                      <a:ext cx="9355464" cy="353574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6"/>
                    </a:lnRef>
                    <a:fillRef idx="1">
                      <a:schemeClr val="lt1"/>
                    </a:fillRef>
                    <a:effectRef idx="0">
                      <a:schemeClr val="accent6"/>
                    </a:effectRef>
                    <a:fontRef idx="minor">
                      <a:schemeClr val="dk1"/>
                    </a:fontRef>
                  </xdr:style>
                  <xdr:txBody>
                    <a:bodyPr rtlCol="1" anchor="ctr"/>
                    <a:lstStyle/>
                    <a:p>
                      <a:pPr algn="ctr"/>
                      <a:endParaRPr lang="fa-IR" sz="1100"/>
                    </a:p>
                  </xdr:txBody>
                </xdr:sp>
                <xdr:sp macro="" textlink="">
                  <xdr:nvSpPr>
                    <xdr:cNvPr id="4" name="Trapezoid 3"/>
                    <xdr:cNvSpPr/>
                  </xdr:nvSpPr>
                  <xdr:spPr>
                    <a:xfrm>
                      <a:off x="7046988" y="511023"/>
                      <a:ext cx="7378851" cy="2265590"/>
                    </a:xfrm>
                    <a:prstGeom prst="trapezoid">
                      <a:avLst>
                        <a:gd name="adj" fmla="val 73432"/>
                      </a:avLst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1" anchor="ctr"/>
                    <a:lstStyle/>
                    <a:p>
                      <a:pPr algn="ctr"/>
                      <a:endParaRPr lang="fa-IR" sz="1100"/>
                    </a:p>
                  </xdr:txBody>
                </xdr:sp>
                <xdr:cxnSp macro="">
                  <xdr:nvCxnSpPr>
                    <xdr:cNvPr id="6" name="Straight Connector 5"/>
                    <xdr:cNvCxnSpPr/>
                  </xdr:nvCxnSpPr>
                  <xdr:spPr>
                    <a:xfrm rot="5400000">
                      <a:off x="8029671" y="1639970"/>
                      <a:ext cx="2265589" cy="1588"/>
                    </a:xfrm>
                    <a:prstGeom prst="line">
                      <a:avLst/>
                    </a:prstGeom>
                    <a:effectLst/>
                  </xdr:spPr>
                  <xdr:style>
                    <a:lnRef idx="2">
                      <a:schemeClr val="dk1"/>
                    </a:lnRef>
                    <a:fillRef idx="0">
                      <a:schemeClr val="dk1"/>
                    </a:fillRef>
                    <a:effectRef idx="1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8" name="Straight Connector 7"/>
                    <xdr:cNvCxnSpPr>
                      <a:stCxn id="4" idx="0"/>
                      <a:endCxn id="4" idx="2"/>
                    </xdr:cNvCxnSpPr>
                  </xdr:nvCxnSpPr>
                  <xdr:spPr>
                    <a:xfrm rot="16200000" flipH="1">
                      <a:off x="9603619" y="1643615"/>
                      <a:ext cx="2265590" cy="1815"/>
                    </a:xfrm>
                    <a:prstGeom prst="line">
                      <a:avLst/>
                    </a:prstGeom>
                    <a:effectLst/>
                  </xdr:spPr>
                  <xdr:style>
                    <a:lnRef idx="2">
                      <a:schemeClr val="dk1"/>
                    </a:lnRef>
                    <a:fillRef idx="0">
                      <a:schemeClr val="dk1"/>
                    </a:fillRef>
                    <a:effectRef idx="1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" name="Straight Connector 9"/>
                    <xdr:cNvCxnSpPr/>
                  </xdr:nvCxnSpPr>
                  <xdr:spPr>
                    <a:xfrm rot="5400000">
                      <a:off x="11191243" y="1643062"/>
                      <a:ext cx="2265589" cy="1588"/>
                    </a:xfrm>
                    <a:prstGeom prst="line">
                      <a:avLst/>
                    </a:prstGeom>
                    <a:effectLst/>
                  </xdr:spPr>
                  <xdr:style>
                    <a:lnRef idx="2">
                      <a:schemeClr val="dk1"/>
                    </a:lnRef>
                    <a:fillRef idx="0">
                      <a:schemeClr val="dk1"/>
                    </a:fillRef>
                    <a:effectRef idx="1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2" name="Straight Connector 11"/>
                    <xdr:cNvCxnSpPr>
                      <a:endCxn id="4" idx="2"/>
                    </xdr:cNvCxnSpPr>
                  </xdr:nvCxnSpPr>
                  <xdr:spPr>
                    <a:xfrm rot="16200000" flipH="1">
                      <a:off x="8823624" y="863823"/>
                      <a:ext cx="2261474" cy="1564106"/>
                    </a:xfrm>
                    <a:prstGeom prst="line">
                      <a:avLst/>
                    </a:prstGeom>
                    <a:effectLst/>
                  </xdr:spPr>
                  <xdr:style>
                    <a:lnRef idx="2">
                      <a:schemeClr val="dk1"/>
                    </a:lnRef>
                    <a:fillRef idx="0">
                      <a:schemeClr val="dk1"/>
                    </a:fillRef>
                    <a:effectRef idx="1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/>
                    <xdr:cNvCxnSpPr>
                      <a:stCxn id="4" idx="2"/>
                      <a:endCxn id="22" idx="3"/>
                    </xdr:cNvCxnSpPr>
                  </xdr:nvCxnSpPr>
                  <xdr:spPr>
                    <a:xfrm rot="5400000" flipH="1" flipV="1">
                      <a:off x="10397453" y="893787"/>
                      <a:ext cx="2221786" cy="1543866"/>
                    </a:xfrm>
                    <a:prstGeom prst="line">
                      <a:avLst/>
                    </a:prstGeom>
                    <a:effectLst/>
                  </xdr:spPr>
                  <xdr:style>
                    <a:lnRef idx="2">
                      <a:schemeClr val="dk1"/>
                    </a:lnRef>
                    <a:fillRef idx="0">
                      <a:schemeClr val="dk1"/>
                    </a:fillRef>
                    <a:effectRef idx="1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18" name="Isosceles Triangle 17"/>
                  <xdr:cNvSpPr/>
                </xdr:nvSpPr>
                <xdr:spPr>
                  <a:xfrm>
                    <a:off x="6987273" y="2769053"/>
                    <a:ext cx="136071" cy="432000"/>
                  </a:xfrm>
                  <a:prstGeom prst="triangle">
                    <a:avLst/>
                  </a:prstGeom>
                </xdr:spPr>
                <xdr:style>
                  <a:lnRef idx="2">
                    <a:schemeClr val="accent6">
                      <a:shade val="50000"/>
                    </a:schemeClr>
                  </a:lnRef>
                  <a:fillRef idx="1">
                    <a:schemeClr val="accent6"/>
                  </a:fillRef>
                  <a:effectRef idx="0">
                    <a:schemeClr val="accent6"/>
                  </a:effectRef>
                  <a:fontRef idx="minor">
                    <a:schemeClr val="lt1"/>
                  </a:fontRef>
                </xdr:style>
                <xdr:txBody>
                  <a:bodyPr rtlCol="1" anchor="ctr"/>
                  <a:lstStyle/>
                  <a:p>
                    <a:pPr algn="ctr"/>
                    <a:endParaRPr lang="fa-IR" sz="1100"/>
                  </a:p>
                </xdr:txBody>
              </xdr:sp>
              <xdr:sp macro="" textlink="">
                <xdr:nvSpPr>
                  <xdr:cNvPr id="19" name="Diamond 18"/>
                  <xdr:cNvSpPr/>
                </xdr:nvSpPr>
                <xdr:spPr>
                  <a:xfrm>
                    <a:off x="14348736" y="2769053"/>
                    <a:ext cx="136071" cy="432000"/>
                  </a:xfrm>
                  <a:prstGeom prst="diamond">
                    <a:avLst/>
                  </a:prstGeom>
                </xdr:spPr>
                <xdr:style>
                  <a:lnRef idx="2">
                    <a:schemeClr val="accent6">
                      <a:shade val="50000"/>
                    </a:schemeClr>
                  </a:lnRef>
                  <a:fillRef idx="1">
                    <a:schemeClr val="accent6"/>
                  </a:fillRef>
                  <a:effectRef idx="0">
                    <a:schemeClr val="accent6"/>
                  </a:effectRef>
                  <a:fontRef idx="minor">
                    <a:schemeClr val="lt1"/>
                  </a:fontRef>
                </xdr:style>
                <xdr:txBody>
                  <a:bodyPr rtlCol="1" anchor="ctr"/>
                  <a:lstStyle/>
                  <a:p>
                    <a:pPr algn="ctr"/>
                    <a:endParaRPr lang="fa-IR" sz="1100"/>
                  </a:p>
                </xdr:txBody>
              </xdr:sp>
              <xdr:sp macro="" textlink="">
                <xdr:nvSpPr>
                  <xdr:cNvPr id="20" name="Flowchart: Connector 19"/>
                  <xdr:cNvSpPr/>
                </xdr:nvSpPr>
                <xdr:spPr>
                  <a:xfrm>
                    <a:off x="9121242" y="460933"/>
                    <a:ext cx="108000" cy="108857"/>
                  </a:xfrm>
                  <a:prstGeom prst="flowChartConnector">
                    <a:avLst/>
                  </a:prstGeom>
                </xdr:spPr>
                <xdr:style>
                  <a:lnRef idx="2">
                    <a:schemeClr val="accent6">
                      <a:shade val="50000"/>
                    </a:schemeClr>
                  </a:lnRef>
                  <a:fillRef idx="1">
                    <a:schemeClr val="accent6"/>
                  </a:fillRef>
                  <a:effectRef idx="0">
                    <a:schemeClr val="accent6"/>
                  </a:effectRef>
                  <a:fontRef idx="minor">
                    <a:schemeClr val="lt1"/>
                  </a:fontRef>
                </xdr:style>
                <xdr:txBody>
                  <a:bodyPr rtlCol="1" anchor="ctr"/>
                  <a:lstStyle/>
                  <a:p>
                    <a:pPr algn="ctr"/>
                    <a:endParaRPr lang="fa-IR" sz="1100"/>
                  </a:p>
                </xdr:txBody>
              </xdr:sp>
              <xdr:sp macro="" textlink="">
                <xdr:nvSpPr>
                  <xdr:cNvPr id="21" name="Flowchart: Connector 20"/>
                  <xdr:cNvSpPr/>
                </xdr:nvSpPr>
                <xdr:spPr>
                  <a:xfrm>
                    <a:off x="10688418" y="462677"/>
                    <a:ext cx="108000" cy="108000"/>
                  </a:xfrm>
                  <a:prstGeom prst="flowChartConnector">
                    <a:avLst/>
                  </a:prstGeom>
                </xdr:spPr>
                <xdr:style>
                  <a:lnRef idx="2">
                    <a:schemeClr val="accent6">
                      <a:shade val="50000"/>
                    </a:schemeClr>
                  </a:lnRef>
                  <a:fillRef idx="1">
                    <a:schemeClr val="accent6"/>
                  </a:fillRef>
                  <a:effectRef idx="0">
                    <a:schemeClr val="accent6"/>
                  </a:effectRef>
                  <a:fontRef idx="minor">
                    <a:schemeClr val="lt1"/>
                  </a:fontRef>
                </xdr:style>
                <xdr:txBody>
                  <a:bodyPr rtlCol="1" anchor="ctr"/>
                  <a:lstStyle/>
                  <a:p>
                    <a:pPr algn="ctr"/>
                    <a:endParaRPr lang="fa-IR" sz="1100"/>
                  </a:p>
                </xdr:txBody>
              </xdr:sp>
              <xdr:sp macro="" textlink="">
                <xdr:nvSpPr>
                  <xdr:cNvPr id="22" name="Flowchart: Connector 21"/>
                  <xdr:cNvSpPr/>
                </xdr:nvSpPr>
                <xdr:spPr>
                  <a:xfrm>
                    <a:off x="12264464" y="462643"/>
                    <a:ext cx="108000" cy="108000"/>
                  </a:xfrm>
                  <a:prstGeom prst="flowChartConnector">
                    <a:avLst/>
                  </a:prstGeom>
                </xdr:spPr>
                <xdr:style>
                  <a:lnRef idx="2">
                    <a:schemeClr val="accent6">
                      <a:shade val="50000"/>
                    </a:schemeClr>
                  </a:lnRef>
                  <a:fillRef idx="1">
                    <a:schemeClr val="accent6"/>
                  </a:fillRef>
                  <a:effectRef idx="0">
                    <a:schemeClr val="accent6"/>
                  </a:effectRef>
                  <a:fontRef idx="minor">
                    <a:schemeClr val="lt1"/>
                  </a:fontRef>
                </xdr:style>
                <xdr:txBody>
                  <a:bodyPr rtlCol="1" anchor="ctr"/>
                  <a:lstStyle/>
                  <a:p>
                    <a:pPr algn="ctr"/>
                    <a:endParaRPr lang="fa-IR" sz="1100"/>
                  </a:p>
                </xdr:txBody>
              </xdr:sp>
              <xdr:sp macro="" textlink="">
                <xdr:nvSpPr>
                  <xdr:cNvPr id="23" name="Flowchart: Connector 22"/>
                  <xdr:cNvSpPr/>
                </xdr:nvSpPr>
                <xdr:spPr>
                  <a:xfrm>
                    <a:off x="10688412" y="2728232"/>
                    <a:ext cx="108000" cy="108000"/>
                  </a:xfrm>
                  <a:prstGeom prst="flowChartConnector">
                    <a:avLst/>
                  </a:prstGeom>
                </xdr:spPr>
                <xdr:style>
                  <a:lnRef idx="2">
                    <a:schemeClr val="accent6">
                      <a:shade val="50000"/>
                    </a:schemeClr>
                  </a:lnRef>
                  <a:fillRef idx="1">
                    <a:schemeClr val="accent6"/>
                  </a:fillRef>
                  <a:effectRef idx="0">
                    <a:schemeClr val="accent6"/>
                  </a:effectRef>
                  <a:fontRef idx="minor">
                    <a:schemeClr val="lt1"/>
                  </a:fontRef>
                </xdr:style>
                <xdr:txBody>
                  <a:bodyPr rtlCol="1" anchor="ctr"/>
                  <a:lstStyle/>
                  <a:p>
                    <a:pPr algn="ctr"/>
                    <a:endParaRPr lang="fa-IR" sz="1100"/>
                  </a:p>
                </xdr:txBody>
              </xdr:sp>
              <xdr:sp macro="" textlink="">
                <xdr:nvSpPr>
                  <xdr:cNvPr id="24" name="Flowchart: Connector 23"/>
                  <xdr:cNvSpPr/>
                </xdr:nvSpPr>
                <xdr:spPr>
                  <a:xfrm>
                    <a:off x="12276413" y="2728231"/>
                    <a:ext cx="108000" cy="108000"/>
                  </a:xfrm>
                  <a:prstGeom prst="flowChartConnector">
                    <a:avLst/>
                  </a:prstGeom>
                </xdr:spPr>
                <xdr:style>
                  <a:lnRef idx="2">
                    <a:schemeClr val="accent6">
                      <a:shade val="50000"/>
                    </a:schemeClr>
                  </a:lnRef>
                  <a:fillRef idx="1">
                    <a:schemeClr val="accent6"/>
                  </a:fillRef>
                  <a:effectRef idx="0">
                    <a:schemeClr val="accent6"/>
                  </a:effectRef>
                  <a:fontRef idx="minor">
                    <a:schemeClr val="lt1"/>
                  </a:fontRef>
                </xdr:style>
                <xdr:txBody>
                  <a:bodyPr rtlCol="1" anchor="ctr"/>
                  <a:lstStyle/>
                  <a:p>
                    <a:pPr algn="ctr"/>
                    <a:endParaRPr lang="fa-IR" sz="1100"/>
                  </a:p>
                </xdr:txBody>
              </xdr:sp>
              <xdr:sp macro="" textlink="">
                <xdr:nvSpPr>
                  <xdr:cNvPr id="25" name="Flowchart: Connector 24"/>
                  <xdr:cNvSpPr/>
                </xdr:nvSpPr>
                <xdr:spPr>
                  <a:xfrm>
                    <a:off x="9109275" y="2721429"/>
                    <a:ext cx="108000" cy="108000"/>
                  </a:xfrm>
                  <a:prstGeom prst="flowChartConnector">
                    <a:avLst/>
                  </a:prstGeom>
                </xdr:spPr>
                <xdr:style>
                  <a:lnRef idx="2">
                    <a:schemeClr val="accent6">
                      <a:shade val="50000"/>
                    </a:schemeClr>
                  </a:lnRef>
                  <a:fillRef idx="1">
                    <a:schemeClr val="accent6"/>
                  </a:fillRef>
                  <a:effectRef idx="0">
                    <a:schemeClr val="accent6"/>
                  </a:effectRef>
                  <a:fontRef idx="minor">
                    <a:schemeClr val="lt1"/>
                  </a:fontRef>
                </xdr:style>
                <xdr:txBody>
                  <a:bodyPr rtlCol="1" anchor="ctr"/>
                  <a:lstStyle/>
                  <a:p>
                    <a:pPr algn="ctr"/>
                    <a:endParaRPr lang="fa-IR" sz="1100"/>
                  </a:p>
                </xdr:txBody>
              </xdr:sp>
              <xdr:sp macro="" textlink="">
                <xdr:nvSpPr>
                  <xdr:cNvPr id="26" name="Flowchart: Connector 25"/>
                  <xdr:cNvSpPr/>
                </xdr:nvSpPr>
                <xdr:spPr>
                  <a:xfrm>
                    <a:off x="7000875" y="2728233"/>
                    <a:ext cx="108000" cy="108000"/>
                  </a:xfrm>
                  <a:prstGeom prst="flowChartConnector">
                    <a:avLst/>
                  </a:prstGeom>
                </xdr:spPr>
                <xdr:style>
                  <a:lnRef idx="2">
                    <a:schemeClr val="accent6">
                      <a:shade val="50000"/>
                    </a:schemeClr>
                  </a:lnRef>
                  <a:fillRef idx="1">
                    <a:schemeClr val="accent6"/>
                  </a:fillRef>
                  <a:effectRef idx="0">
                    <a:schemeClr val="accent6"/>
                  </a:effectRef>
                  <a:fontRef idx="minor">
                    <a:schemeClr val="lt1"/>
                  </a:fontRef>
                </xdr:style>
                <xdr:txBody>
                  <a:bodyPr rtlCol="1" anchor="ctr"/>
                  <a:lstStyle/>
                  <a:p>
                    <a:pPr algn="ctr"/>
                    <a:endParaRPr lang="fa-IR" sz="1100"/>
                  </a:p>
                </xdr:txBody>
              </xdr:sp>
              <xdr:sp macro="" textlink="">
                <xdr:nvSpPr>
                  <xdr:cNvPr id="27" name="Flowchart: Connector 26"/>
                  <xdr:cNvSpPr/>
                </xdr:nvSpPr>
                <xdr:spPr>
                  <a:xfrm>
                    <a:off x="14362340" y="2707821"/>
                    <a:ext cx="108000" cy="108000"/>
                  </a:xfrm>
                  <a:prstGeom prst="flowChartConnector">
                    <a:avLst/>
                  </a:prstGeom>
                </xdr:spPr>
                <xdr:style>
                  <a:lnRef idx="2">
                    <a:schemeClr val="accent6">
                      <a:shade val="50000"/>
                    </a:schemeClr>
                  </a:lnRef>
                  <a:fillRef idx="1">
                    <a:schemeClr val="accent6"/>
                  </a:fillRef>
                  <a:effectRef idx="0">
                    <a:schemeClr val="accent6"/>
                  </a:effectRef>
                  <a:fontRef idx="minor">
                    <a:schemeClr val="lt1"/>
                  </a:fontRef>
                </xdr:style>
                <xdr:txBody>
                  <a:bodyPr rtlCol="1" anchor="ctr"/>
                  <a:lstStyle/>
                  <a:p>
                    <a:pPr algn="ctr"/>
                    <a:endParaRPr lang="fa-IR" sz="1100"/>
                  </a:p>
                </xdr:txBody>
              </xdr:sp>
              <xdr:cxnSp macro="">
                <xdr:nvCxnSpPr>
                  <xdr:cNvPr id="29" name="Straight Connector 28"/>
                  <xdr:cNvCxnSpPr/>
                </xdr:nvCxnSpPr>
                <xdr:spPr>
                  <a:xfrm rot="5400000">
                    <a:off x="14422719" y="3101571"/>
                    <a:ext cx="3429" cy="216000"/>
                  </a:xfrm>
                  <a:prstGeom prst="line">
                    <a:avLst/>
                  </a:prstGeom>
                  <a:ln w="28575">
                    <a:solidFill>
                      <a:schemeClr val="accent6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161" name="Group 160"/>
                <xdr:cNvGrpSpPr/>
              </xdr:nvGrpSpPr>
              <xdr:grpSpPr>
                <a:xfrm>
                  <a:off x="6556680" y="58615"/>
                  <a:ext cx="8391861" cy="3545204"/>
                  <a:chOff x="6556680" y="58615"/>
                  <a:chExt cx="8391861" cy="3545204"/>
                </a:xfrm>
              </xdr:grpSpPr>
              <xdr:grpSp>
                <xdr:nvGrpSpPr>
                  <xdr:cNvPr id="37" name="Group 36"/>
                  <xdr:cNvGrpSpPr/>
                </xdr:nvGrpSpPr>
                <xdr:grpSpPr>
                  <a:xfrm>
                    <a:off x="6556680" y="2552517"/>
                    <a:ext cx="488616" cy="498118"/>
                    <a:chOff x="6465094" y="2190750"/>
                    <a:chExt cx="488157" cy="511856"/>
                  </a:xfrm>
                </xdr:grpSpPr>
                <xdr:cxnSp macro="">
                  <xdr:nvCxnSpPr>
                    <xdr:cNvPr id="32" name="Straight Arrow Connector 31"/>
                    <xdr:cNvCxnSpPr/>
                  </xdr:nvCxnSpPr>
                  <xdr:spPr>
                    <a:xfrm rot="5400000" flipH="1" flipV="1">
                      <a:off x="6443557" y="2547363"/>
                      <a:ext cx="298205" cy="1588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4" name="Straight Arrow Connector 33"/>
                    <xdr:cNvCxnSpPr/>
                  </xdr:nvCxnSpPr>
                  <xdr:spPr>
                    <a:xfrm>
                      <a:off x="6585857" y="2701018"/>
                      <a:ext cx="285449" cy="1588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35" name="TextBox 34"/>
                    <xdr:cNvSpPr txBox="1"/>
                  </xdr:nvSpPr>
                  <xdr:spPr>
                    <a:xfrm>
                      <a:off x="6465094" y="2190750"/>
                      <a:ext cx="202406" cy="178594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1" anchor="t"/>
                    <a:lstStyle/>
                    <a:p>
                      <a:r>
                        <a:rPr lang="en-US" sz="1100"/>
                        <a:t>2</a:t>
                      </a:r>
                      <a:endParaRPr lang="fa-IR" sz="1100"/>
                    </a:p>
                  </xdr:txBody>
                </xdr:sp>
                <xdr:sp macro="" textlink="">
                  <xdr:nvSpPr>
                    <xdr:cNvPr id="36" name="TextBox 35"/>
                    <xdr:cNvSpPr txBox="1"/>
                  </xdr:nvSpPr>
                  <xdr:spPr>
                    <a:xfrm>
                      <a:off x="6828235" y="2530078"/>
                      <a:ext cx="125016" cy="136922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1" anchor="t"/>
                    <a:lstStyle/>
                    <a:p>
                      <a:r>
                        <a:rPr lang="en-US" sz="1100"/>
                        <a:t>1</a:t>
                      </a:r>
                      <a:endParaRPr lang="fa-IR" sz="1100"/>
                    </a:p>
                  </xdr:txBody>
                </xdr:sp>
              </xdr:grpSp>
              <xdr:grpSp>
                <xdr:nvGrpSpPr>
                  <xdr:cNvPr id="78" name="Group 77"/>
                  <xdr:cNvGrpSpPr/>
                </xdr:nvGrpSpPr>
                <xdr:grpSpPr>
                  <a:xfrm>
                    <a:off x="9077600" y="3135923"/>
                    <a:ext cx="488157" cy="467896"/>
                    <a:chOff x="6465094" y="2190750"/>
                    <a:chExt cx="488157" cy="511856"/>
                  </a:xfrm>
                </xdr:grpSpPr>
                <xdr:cxnSp macro="">
                  <xdr:nvCxnSpPr>
                    <xdr:cNvPr id="79" name="Straight Arrow Connector 78"/>
                    <xdr:cNvCxnSpPr/>
                  </xdr:nvCxnSpPr>
                  <xdr:spPr>
                    <a:xfrm rot="5400000" flipH="1" flipV="1">
                      <a:off x="6443557" y="2547363"/>
                      <a:ext cx="298205" cy="1588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80" name="Straight Arrow Connector 79"/>
                    <xdr:cNvCxnSpPr/>
                  </xdr:nvCxnSpPr>
                  <xdr:spPr>
                    <a:xfrm>
                      <a:off x="6585857" y="2701018"/>
                      <a:ext cx="285449" cy="1588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81" name="TextBox 80"/>
                    <xdr:cNvSpPr txBox="1"/>
                  </xdr:nvSpPr>
                  <xdr:spPr>
                    <a:xfrm>
                      <a:off x="6465094" y="2190750"/>
                      <a:ext cx="202406" cy="178594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1" anchor="t"/>
                    <a:lstStyle/>
                    <a:p>
                      <a:r>
                        <a:rPr lang="en-US" sz="1100"/>
                        <a:t>4</a:t>
                      </a:r>
                      <a:endParaRPr lang="fa-IR" sz="1100"/>
                    </a:p>
                  </xdr:txBody>
                </xdr:sp>
                <xdr:sp macro="" textlink="">
                  <xdr:nvSpPr>
                    <xdr:cNvPr id="82" name="TextBox 81"/>
                    <xdr:cNvSpPr txBox="1"/>
                  </xdr:nvSpPr>
                  <xdr:spPr>
                    <a:xfrm>
                      <a:off x="6828235" y="2530078"/>
                      <a:ext cx="125016" cy="136922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1" anchor="t"/>
                    <a:lstStyle/>
                    <a:p>
                      <a:r>
                        <a:rPr lang="en-US" sz="1100"/>
                        <a:t>3</a:t>
                      </a:r>
                      <a:endParaRPr lang="fa-IR" sz="1100"/>
                    </a:p>
                  </xdr:txBody>
                </xdr:sp>
              </xdr:grpSp>
              <xdr:grpSp>
                <xdr:nvGrpSpPr>
                  <xdr:cNvPr id="113" name="Group 112"/>
                  <xdr:cNvGrpSpPr/>
                </xdr:nvGrpSpPr>
                <xdr:grpSpPr>
                  <a:xfrm>
                    <a:off x="12235470" y="58615"/>
                    <a:ext cx="857704" cy="436751"/>
                    <a:chOff x="6435802" y="2257897"/>
                    <a:chExt cx="856897" cy="444709"/>
                  </a:xfrm>
                </xdr:grpSpPr>
                <xdr:cxnSp macro="">
                  <xdr:nvCxnSpPr>
                    <xdr:cNvPr id="114" name="Straight Arrow Connector 113"/>
                    <xdr:cNvCxnSpPr/>
                  </xdr:nvCxnSpPr>
                  <xdr:spPr>
                    <a:xfrm rot="5400000" flipH="1" flipV="1">
                      <a:off x="6443557" y="2547363"/>
                      <a:ext cx="298205" cy="1588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5" name="Straight Arrow Connector 114"/>
                    <xdr:cNvCxnSpPr/>
                  </xdr:nvCxnSpPr>
                  <xdr:spPr>
                    <a:xfrm>
                      <a:off x="6585857" y="2701018"/>
                      <a:ext cx="285449" cy="1588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16" name="TextBox 115"/>
                    <xdr:cNvSpPr txBox="1"/>
                  </xdr:nvSpPr>
                  <xdr:spPr>
                    <a:xfrm>
                      <a:off x="6435802" y="2257897"/>
                      <a:ext cx="483611" cy="52223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1" anchor="t"/>
                    <a:lstStyle/>
                    <a:p>
                      <a:r>
                        <a:rPr lang="en-US" sz="1100"/>
                        <a:t>16</a:t>
                      </a:r>
                      <a:endParaRPr lang="fa-IR" sz="1100"/>
                    </a:p>
                  </xdr:txBody>
                </xdr:sp>
                <xdr:sp macro="" textlink="">
                  <xdr:nvSpPr>
                    <xdr:cNvPr id="117" name="TextBox 116"/>
                    <xdr:cNvSpPr txBox="1"/>
                  </xdr:nvSpPr>
                  <xdr:spPr>
                    <a:xfrm>
                      <a:off x="6828231" y="2530078"/>
                      <a:ext cx="464468" cy="84918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1" anchor="t"/>
                    <a:lstStyle/>
                    <a:p>
                      <a:r>
                        <a:rPr lang="en-US" sz="1100"/>
                        <a:t>15</a:t>
                      </a:r>
                      <a:endParaRPr lang="fa-IR" sz="1100"/>
                    </a:p>
                  </xdr:txBody>
                </xdr:sp>
              </xdr:grpSp>
              <xdr:grpSp>
                <xdr:nvGrpSpPr>
                  <xdr:cNvPr id="118" name="Group 117"/>
                  <xdr:cNvGrpSpPr/>
                </xdr:nvGrpSpPr>
                <xdr:grpSpPr>
                  <a:xfrm>
                    <a:off x="10629410" y="64184"/>
                    <a:ext cx="807922" cy="428457"/>
                    <a:chOff x="6428485" y="2270284"/>
                    <a:chExt cx="807162" cy="432322"/>
                  </a:xfrm>
                </xdr:grpSpPr>
                <xdr:cxnSp macro="">
                  <xdr:nvCxnSpPr>
                    <xdr:cNvPr id="119" name="Straight Arrow Connector 118"/>
                    <xdr:cNvCxnSpPr/>
                  </xdr:nvCxnSpPr>
                  <xdr:spPr>
                    <a:xfrm rot="5400000" flipH="1" flipV="1">
                      <a:off x="6443557" y="2547363"/>
                      <a:ext cx="298205" cy="1588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20" name="Straight Arrow Connector 119"/>
                    <xdr:cNvCxnSpPr/>
                  </xdr:nvCxnSpPr>
                  <xdr:spPr>
                    <a:xfrm>
                      <a:off x="6585857" y="2701018"/>
                      <a:ext cx="285449" cy="1588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21" name="TextBox 120"/>
                    <xdr:cNvSpPr txBox="1"/>
                  </xdr:nvSpPr>
                  <xdr:spPr>
                    <a:xfrm>
                      <a:off x="6428485" y="2270284"/>
                      <a:ext cx="515312" cy="148997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1" anchor="t"/>
                    <a:lstStyle/>
                    <a:p>
                      <a:r>
                        <a:rPr lang="en-US" sz="1100"/>
                        <a:t>14</a:t>
                      </a:r>
                      <a:endParaRPr lang="fa-IR" sz="1100"/>
                    </a:p>
                  </xdr:txBody>
                </xdr:sp>
                <xdr:sp macro="" textlink="">
                  <xdr:nvSpPr>
                    <xdr:cNvPr id="122" name="TextBox 121"/>
                    <xdr:cNvSpPr txBox="1"/>
                  </xdr:nvSpPr>
                  <xdr:spPr>
                    <a:xfrm>
                      <a:off x="6828230" y="2589975"/>
                      <a:ext cx="407417" cy="59144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1" anchor="t"/>
                    <a:lstStyle/>
                    <a:p>
                      <a:r>
                        <a:rPr lang="en-US" sz="1100"/>
                        <a:t>13</a:t>
                      </a:r>
                      <a:endParaRPr lang="fa-IR" sz="1100"/>
                    </a:p>
                  </xdr:txBody>
                </xdr:sp>
              </xdr:grpSp>
              <xdr:grpSp>
                <xdr:nvGrpSpPr>
                  <xdr:cNvPr id="123" name="Group 122"/>
                  <xdr:cNvGrpSpPr/>
                </xdr:nvGrpSpPr>
                <xdr:grpSpPr>
                  <a:xfrm>
                    <a:off x="14460383" y="2548589"/>
                    <a:ext cx="488158" cy="502698"/>
                    <a:chOff x="6465093" y="2190750"/>
                    <a:chExt cx="488158" cy="511856"/>
                  </a:xfrm>
                </xdr:grpSpPr>
                <xdr:cxnSp macro="">
                  <xdr:nvCxnSpPr>
                    <xdr:cNvPr id="124" name="Straight Arrow Connector 123"/>
                    <xdr:cNvCxnSpPr/>
                  </xdr:nvCxnSpPr>
                  <xdr:spPr>
                    <a:xfrm rot="5400000" flipH="1" flipV="1">
                      <a:off x="6443557" y="2547363"/>
                      <a:ext cx="298205" cy="1588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25" name="Straight Arrow Connector 124"/>
                    <xdr:cNvCxnSpPr/>
                  </xdr:nvCxnSpPr>
                  <xdr:spPr>
                    <a:xfrm>
                      <a:off x="6585857" y="2701018"/>
                      <a:ext cx="285449" cy="1588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26" name="TextBox 125"/>
                    <xdr:cNvSpPr txBox="1"/>
                  </xdr:nvSpPr>
                  <xdr:spPr>
                    <a:xfrm>
                      <a:off x="6465093" y="2190750"/>
                      <a:ext cx="376425" cy="187307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1" anchor="t"/>
                    <a:lstStyle/>
                    <a:p>
                      <a:r>
                        <a:rPr lang="en-US" sz="1100"/>
                        <a:t>10</a:t>
                      </a:r>
                      <a:endParaRPr lang="fa-IR" sz="1100"/>
                    </a:p>
                  </xdr:txBody>
                </xdr:sp>
                <xdr:sp macro="" textlink="">
                  <xdr:nvSpPr>
                    <xdr:cNvPr id="127" name="TextBox 126"/>
                    <xdr:cNvSpPr txBox="1"/>
                  </xdr:nvSpPr>
                  <xdr:spPr>
                    <a:xfrm>
                      <a:off x="6828235" y="2530078"/>
                      <a:ext cx="125016" cy="136922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1" anchor="t"/>
                    <a:lstStyle/>
                    <a:p>
                      <a:r>
                        <a:rPr lang="en-US" sz="1100"/>
                        <a:t>9</a:t>
                      </a:r>
                      <a:endParaRPr lang="fa-IR" sz="1100"/>
                    </a:p>
                  </xdr:txBody>
                </xdr:sp>
              </xdr:grpSp>
              <xdr:grpSp>
                <xdr:nvGrpSpPr>
                  <xdr:cNvPr id="128" name="Group 127"/>
                  <xdr:cNvGrpSpPr/>
                </xdr:nvGrpSpPr>
                <xdr:grpSpPr>
                  <a:xfrm>
                    <a:off x="12312131" y="3135923"/>
                    <a:ext cx="480830" cy="458835"/>
                    <a:chOff x="6472421" y="2231119"/>
                    <a:chExt cx="480830" cy="471487"/>
                  </a:xfrm>
                </xdr:grpSpPr>
                <xdr:cxnSp macro="">
                  <xdr:nvCxnSpPr>
                    <xdr:cNvPr id="129" name="Straight Arrow Connector 128"/>
                    <xdr:cNvCxnSpPr/>
                  </xdr:nvCxnSpPr>
                  <xdr:spPr>
                    <a:xfrm rot="5400000" flipH="1" flipV="1">
                      <a:off x="6443557" y="2547363"/>
                      <a:ext cx="298205" cy="1588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0" name="Straight Arrow Connector 129"/>
                    <xdr:cNvCxnSpPr/>
                  </xdr:nvCxnSpPr>
                  <xdr:spPr>
                    <a:xfrm>
                      <a:off x="6585857" y="2701018"/>
                      <a:ext cx="285449" cy="1588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31" name="TextBox 130"/>
                    <xdr:cNvSpPr txBox="1"/>
                  </xdr:nvSpPr>
                  <xdr:spPr>
                    <a:xfrm>
                      <a:off x="6472421" y="2231119"/>
                      <a:ext cx="202406" cy="77997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1" anchor="t"/>
                    <a:lstStyle/>
                    <a:p>
                      <a:r>
                        <a:rPr lang="en-US" sz="1100"/>
                        <a:t>8</a:t>
                      </a:r>
                      <a:endParaRPr lang="fa-IR" sz="1100"/>
                    </a:p>
                  </xdr:txBody>
                </xdr:sp>
                <xdr:sp macro="" textlink="">
                  <xdr:nvSpPr>
                    <xdr:cNvPr id="132" name="TextBox 131"/>
                    <xdr:cNvSpPr txBox="1"/>
                  </xdr:nvSpPr>
                  <xdr:spPr>
                    <a:xfrm>
                      <a:off x="6828235" y="2530078"/>
                      <a:ext cx="125016" cy="136922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1" anchor="t"/>
                    <a:lstStyle/>
                    <a:p>
                      <a:r>
                        <a:rPr lang="en-US" sz="1100"/>
                        <a:t>7</a:t>
                      </a:r>
                      <a:endParaRPr lang="fa-IR" sz="1100"/>
                    </a:p>
                  </xdr:txBody>
                </xdr:sp>
              </xdr:grpSp>
              <xdr:grpSp>
                <xdr:nvGrpSpPr>
                  <xdr:cNvPr id="133" name="Group 132"/>
                  <xdr:cNvGrpSpPr/>
                </xdr:nvGrpSpPr>
                <xdr:grpSpPr>
                  <a:xfrm>
                    <a:off x="10713392" y="3157904"/>
                    <a:ext cx="394243" cy="329716"/>
                    <a:chOff x="6521267" y="2299821"/>
                    <a:chExt cx="431984" cy="402785"/>
                  </a:xfrm>
                </xdr:grpSpPr>
                <xdr:cxnSp macro="">
                  <xdr:nvCxnSpPr>
                    <xdr:cNvPr id="134" name="Straight Arrow Connector 133"/>
                    <xdr:cNvCxnSpPr/>
                  </xdr:nvCxnSpPr>
                  <xdr:spPr>
                    <a:xfrm rot="5400000" flipH="1" flipV="1">
                      <a:off x="6443557" y="2547363"/>
                      <a:ext cx="298205" cy="1588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5" name="Straight Arrow Connector 134"/>
                    <xdr:cNvCxnSpPr/>
                  </xdr:nvCxnSpPr>
                  <xdr:spPr>
                    <a:xfrm>
                      <a:off x="6585857" y="2701018"/>
                      <a:ext cx="285449" cy="1588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36" name="TextBox 135"/>
                    <xdr:cNvSpPr txBox="1"/>
                  </xdr:nvSpPr>
                  <xdr:spPr>
                    <a:xfrm>
                      <a:off x="6521267" y="2299821"/>
                      <a:ext cx="202405" cy="78470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1" anchor="t"/>
                    <a:lstStyle/>
                    <a:p>
                      <a:r>
                        <a:rPr lang="en-US" sz="1100"/>
                        <a:t>6</a:t>
                      </a:r>
                      <a:endParaRPr lang="fa-IR" sz="1100"/>
                    </a:p>
                  </xdr:txBody>
                </xdr:sp>
                <xdr:sp macro="" textlink="">
                  <xdr:nvSpPr>
                    <xdr:cNvPr id="137" name="TextBox 136"/>
                    <xdr:cNvSpPr txBox="1"/>
                  </xdr:nvSpPr>
                  <xdr:spPr>
                    <a:xfrm>
                      <a:off x="6828235" y="2530078"/>
                      <a:ext cx="125016" cy="136922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1" anchor="t"/>
                    <a:lstStyle/>
                    <a:p>
                      <a:r>
                        <a:rPr lang="en-US" sz="1100"/>
                        <a:t>5</a:t>
                      </a:r>
                      <a:endParaRPr lang="fa-IR" sz="1100"/>
                    </a:p>
                  </xdr:txBody>
                </xdr:sp>
              </xdr:grpSp>
              <xdr:grpSp>
                <xdr:nvGrpSpPr>
                  <xdr:cNvPr id="138" name="Group 137"/>
                  <xdr:cNvGrpSpPr/>
                </xdr:nvGrpSpPr>
                <xdr:grpSpPr>
                  <a:xfrm>
                    <a:off x="9057877" y="64183"/>
                    <a:ext cx="915825" cy="431187"/>
                    <a:chOff x="6428778" y="2263563"/>
                    <a:chExt cx="908160" cy="439043"/>
                  </a:xfrm>
                </xdr:grpSpPr>
                <xdr:cxnSp macro="">
                  <xdr:nvCxnSpPr>
                    <xdr:cNvPr id="139" name="Straight Arrow Connector 138"/>
                    <xdr:cNvCxnSpPr/>
                  </xdr:nvCxnSpPr>
                  <xdr:spPr>
                    <a:xfrm rot="5400000" flipH="1" flipV="1">
                      <a:off x="6443557" y="2547363"/>
                      <a:ext cx="298205" cy="1588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40" name="Straight Arrow Connector 139"/>
                    <xdr:cNvCxnSpPr/>
                  </xdr:nvCxnSpPr>
                  <xdr:spPr>
                    <a:xfrm>
                      <a:off x="6585857" y="2701018"/>
                      <a:ext cx="285449" cy="1588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41" name="TextBox 140"/>
                    <xdr:cNvSpPr txBox="1"/>
                  </xdr:nvSpPr>
                  <xdr:spPr>
                    <a:xfrm>
                      <a:off x="6428778" y="2263563"/>
                      <a:ext cx="475900" cy="150356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1" anchor="t"/>
                    <a:lstStyle/>
                    <a:p>
                      <a:r>
                        <a:rPr lang="en-US" sz="1100"/>
                        <a:t>12</a:t>
                      </a:r>
                      <a:endParaRPr lang="fa-IR" sz="1100"/>
                    </a:p>
                  </xdr:txBody>
                </xdr:sp>
                <xdr:sp macro="" textlink="">
                  <xdr:nvSpPr>
                    <xdr:cNvPr id="142" name="TextBox 141"/>
                    <xdr:cNvSpPr txBox="1"/>
                  </xdr:nvSpPr>
                  <xdr:spPr>
                    <a:xfrm>
                      <a:off x="6828236" y="2548853"/>
                      <a:ext cx="508702" cy="113449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1" anchor="t"/>
                    <a:lstStyle/>
                    <a:p>
                      <a:r>
                        <a:rPr lang="en-US" sz="1100"/>
                        <a:t>11</a:t>
                      </a:r>
                      <a:endParaRPr lang="fa-IR" sz="1100"/>
                    </a:p>
                  </xdr:txBody>
                </xdr:sp>
              </xdr:grpSp>
            </xdr:grpSp>
          </xdr:grpSp>
          <xdr:grpSp>
            <xdr:nvGrpSpPr>
              <xdr:cNvPr id="169" name="Group 168"/>
              <xdr:cNvGrpSpPr/>
            </xdr:nvGrpSpPr>
            <xdr:grpSpPr>
              <a:xfrm>
                <a:off x="15034846" y="527538"/>
                <a:ext cx="115327" cy="2544030"/>
                <a:chOff x="15034846" y="527538"/>
                <a:chExt cx="115327" cy="2544030"/>
              </a:xfrm>
            </xdr:grpSpPr>
            <xdr:cxnSp macro="">
              <xdr:nvCxnSpPr>
                <xdr:cNvPr id="163" name="Straight Arrow Connector 162"/>
                <xdr:cNvCxnSpPr/>
              </xdr:nvCxnSpPr>
              <xdr:spPr>
                <a:xfrm rot="5400000" flipH="1" flipV="1">
                  <a:off x="13818577" y="1802423"/>
                  <a:ext cx="2535116" cy="1588"/>
                </a:xfrm>
                <a:prstGeom prst="straightConnector1">
                  <a:avLst/>
                </a:prstGeom>
                <a:ln>
                  <a:solidFill>
                    <a:schemeClr val="accent1"/>
                  </a:solidFill>
                  <a:headEnd type="triangle" w="med" len="med"/>
                  <a:tailEnd type="triangle" w="med" len="med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5" name="Straight Connector 164"/>
                <xdr:cNvCxnSpPr/>
              </xdr:nvCxnSpPr>
              <xdr:spPr>
                <a:xfrm>
                  <a:off x="15034846" y="527538"/>
                  <a:ext cx="108000" cy="1588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7" name="Straight Connector 166"/>
                <xdr:cNvCxnSpPr/>
              </xdr:nvCxnSpPr>
              <xdr:spPr>
                <a:xfrm>
                  <a:off x="15042173" y="3069980"/>
                  <a:ext cx="108000" cy="1588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168" name="TextBox 167"/>
            <xdr:cNvSpPr txBox="1"/>
          </xdr:nvSpPr>
          <xdr:spPr>
            <a:xfrm>
              <a:off x="14807045" y="1671205"/>
              <a:ext cx="263769" cy="27975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t"/>
            <a:lstStyle/>
            <a:p>
              <a:pPr algn="l"/>
              <a:r>
                <a:rPr lang="en-US" sz="1100" b="1"/>
                <a:t>h</a:t>
              </a:r>
              <a:endParaRPr lang="fa-IR" sz="1100" b="1"/>
            </a:p>
          </xdr:txBody>
        </xdr:sp>
      </xdr:grpSp>
      <xdr:grpSp>
        <xdr:nvGrpSpPr>
          <xdr:cNvPr id="184" name="Group 183"/>
          <xdr:cNvGrpSpPr/>
        </xdr:nvGrpSpPr>
        <xdr:grpSpPr>
          <a:xfrm>
            <a:off x="7004410" y="3556962"/>
            <a:ext cx="7370475" cy="296333"/>
            <a:chOff x="7004410" y="3556962"/>
            <a:chExt cx="7370475" cy="296333"/>
          </a:xfrm>
        </xdr:grpSpPr>
        <xdr:cxnSp macro="">
          <xdr:nvCxnSpPr>
            <xdr:cNvPr id="176" name="Straight Arrow Connector 175"/>
            <xdr:cNvCxnSpPr/>
          </xdr:nvCxnSpPr>
          <xdr:spPr>
            <a:xfrm>
              <a:off x="7012902" y="3724372"/>
              <a:ext cx="7355416" cy="1588"/>
            </a:xfrm>
            <a:prstGeom prst="straightConnector1">
              <a:avLst/>
            </a:prstGeom>
            <a:ln>
              <a:headEnd type="triangle" w="med" len="med"/>
              <a:tailEnd type="triangl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79" name="TextBox 178"/>
            <xdr:cNvSpPr txBox="1"/>
          </xdr:nvSpPr>
          <xdr:spPr>
            <a:xfrm>
              <a:off x="10539075" y="3556962"/>
              <a:ext cx="567652" cy="29633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ctr"/>
            <a:lstStyle/>
            <a:p>
              <a:pPr algn="ctr"/>
              <a:r>
                <a:rPr lang="en-US" sz="1100" b="1"/>
                <a:t>4*L</a:t>
              </a:r>
              <a:endParaRPr lang="fa-IR" sz="1100" b="1"/>
            </a:p>
          </xdr:txBody>
        </xdr:sp>
        <xdr:cxnSp macro="">
          <xdr:nvCxnSpPr>
            <xdr:cNvPr id="181" name="Straight Connector 180"/>
            <xdr:cNvCxnSpPr/>
          </xdr:nvCxnSpPr>
          <xdr:spPr>
            <a:xfrm rot="5400000">
              <a:off x="6951204" y="3725454"/>
              <a:ext cx="108000" cy="158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3" name="Straight Connector 182"/>
            <xdr:cNvCxnSpPr/>
          </xdr:nvCxnSpPr>
          <xdr:spPr>
            <a:xfrm rot="5400000">
              <a:off x="14320091" y="3734113"/>
              <a:ext cx="108000" cy="158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6303</xdr:colOff>
      <xdr:row>0</xdr:row>
      <xdr:rowOff>25702</xdr:rowOff>
    </xdr:from>
    <xdr:to>
      <xdr:col>36</xdr:col>
      <xdr:colOff>421269</xdr:colOff>
      <xdr:row>19</xdr:row>
      <xdr:rowOff>124869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615950</xdr:colOff>
      <xdr:row>8</xdr:row>
      <xdr:rowOff>12700</xdr:rowOff>
    </xdr:from>
    <xdr:to>
      <xdr:col>22</xdr:col>
      <xdr:colOff>133350</xdr:colOff>
      <xdr:row>9</xdr:row>
      <xdr:rowOff>127000</xdr:rowOff>
    </xdr:to>
    <xdr:sp macro="" textlink="">
      <xdr:nvSpPr>
        <xdr:cNvPr id="75" name="TextBox 74"/>
        <xdr:cNvSpPr txBox="1"/>
      </xdr:nvSpPr>
      <xdr:spPr>
        <a:xfrm>
          <a:off x="14859000" y="1625600"/>
          <a:ext cx="203200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t"/>
        <a:lstStyle/>
        <a:p>
          <a:r>
            <a:rPr lang="en-US" sz="1100" b="1"/>
            <a:t>h</a:t>
          </a:r>
          <a:endParaRPr lang="fa-IR" sz="1100" b="1"/>
        </a:p>
      </xdr:txBody>
    </xdr:sp>
    <xdr:clientData/>
  </xdr:twoCellAnchor>
  <xdr:twoCellAnchor>
    <xdr:from>
      <xdr:col>9</xdr:col>
      <xdr:colOff>24189</xdr:colOff>
      <xdr:row>0</xdr:row>
      <xdr:rowOff>25702</xdr:rowOff>
    </xdr:from>
    <xdr:to>
      <xdr:col>22</xdr:col>
      <xdr:colOff>498319</xdr:colOff>
      <xdr:row>19</xdr:row>
      <xdr:rowOff>123600</xdr:rowOff>
    </xdr:to>
    <xdr:grpSp>
      <xdr:nvGrpSpPr>
        <xdr:cNvPr id="87" name="Group 86"/>
        <xdr:cNvGrpSpPr/>
      </xdr:nvGrpSpPr>
      <xdr:grpSpPr>
        <a:xfrm>
          <a:off x="5317368" y="25702"/>
          <a:ext cx="8311844" cy="3962327"/>
          <a:chOff x="6099022" y="25702"/>
          <a:chExt cx="9364130" cy="3886731"/>
        </a:xfrm>
      </xdr:grpSpPr>
      <xdr:grpSp>
        <xdr:nvGrpSpPr>
          <xdr:cNvPr id="85" name="Group 84"/>
          <xdr:cNvGrpSpPr/>
        </xdr:nvGrpSpPr>
        <xdr:grpSpPr>
          <a:xfrm>
            <a:off x="6099022" y="25702"/>
            <a:ext cx="9364130" cy="3886731"/>
            <a:chOff x="6058958" y="52917"/>
            <a:chExt cx="9359594" cy="3826255"/>
          </a:xfrm>
        </xdr:grpSpPr>
        <xdr:grpSp>
          <xdr:nvGrpSpPr>
            <xdr:cNvPr id="77" name="Group 76"/>
            <xdr:cNvGrpSpPr/>
          </xdr:nvGrpSpPr>
          <xdr:grpSpPr>
            <a:xfrm>
              <a:off x="6058958" y="52917"/>
              <a:ext cx="9359594" cy="3826255"/>
              <a:chOff x="6049433" y="52917"/>
              <a:chExt cx="9343719" cy="3926948"/>
            </a:xfrm>
          </xdr:grpSpPr>
          <xdr:grpSp>
            <xdr:nvGrpSpPr>
              <xdr:cNvPr id="3" name="Group 2"/>
              <xdr:cNvGrpSpPr/>
            </xdr:nvGrpSpPr>
            <xdr:grpSpPr>
              <a:xfrm>
                <a:off x="6049433" y="52917"/>
                <a:ext cx="9343719" cy="3926948"/>
                <a:chOff x="6157056" y="35820"/>
                <a:chExt cx="9364885" cy="3886731"/>
              </a:xfrm>
            </xdr:grpSpPr>
            <xdr:grpSp>
              <xdr:nvGrpSpPr>
                <xdr:cNvPr id="4" name="Group 171"/>
                <xdr:cNvGrpSpPr/>
              </xdr:nvGrpSpPr>
              <xdr:grpSpPr>
                <a:xfrm>
                  <a:off x="6157056" y="35820"/>
                  <a:ext cx="9364885" cy="3886731"/>
                  <a:chOff x="6157056" y="35820"/>
                  <a:chExt cx="9364885" cy="3886731"/>
                </a:xfrm>
              </xdr:grpSpPr>
              <xdr:grpSp>
                <xdr:nvGrpSpPr>
                  <xdr:cNvPr id="9" name="Group 29"/>
                  <xdr:cNvGrpSpPr/>
                </xdr:nvGrpSpPr>
                <xdr:grpSpPr>
                  <a:xfrm>
                    <a:off x="6157056" y="35820"/>
                    <a:ext cx="9364885" cy="3886731"/>
                    <a:chOff x="6100535" y="21167"/>
                    <a:chExt cx="9355464" cy="3535744"/>
                  </a:xfrm>
                </xdr:grpSpPr>
                <xdr:grpSp>
                  <xdr:nvGrpSpPr>
                    <xdr:cNvPr id="51" name="Group 16"/>
                    <xdr:cNvGrpSpPr/>
                  </xdr:nvGrpSpPr>
                  <xdr:grpSpPr>
                    <a:xfrm>
                      <a:off x="6100535" y="21167"/>
                      <a:ext cx="9355464" cy="3535744"/>
                      <a:chOff x="6100535" y="21167"/>
                      <a:chExt cx="9355464" cy="3535744"/>
                    </a:xfrm>
                  </xdr:grpSpPr>
                  <xdr:sp macro="" textlink="">
                    <xdr:nvSpPr>
                      <xdr:cNvPr id="63" name="Rectangle 2"/>
                      <xdr:cNvSpPr/>
                    </xdr:nvSpPr>
                    <xdr:spPr>
                      <a:xfrm>
                        <a:off x="6100535" y="21167"/>
                        <a:ext cx="9355464" cy="3535744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6"/>
                      </a:lnRef>
                      <a:fillRef idx="1">
                        <a:schemeClr val="lt1"/>
                      </a:fillRef>
                      <a:effectRef idx="0">
                        <a:schemeClr val="accent6"/>
                      </a:effectRef>
                      <a:fontRef idx="minor">
                        <a:schemeClr val="dk1"/>
                      </a:fontRef>
                    </xdr:style>
                    <xdr:txBody>
                      <a:bodyPr rtlCol="1" anchor="ctr"/>
                      <a:lstStyle/>
                      <a:p>
                        <a:pPr algn="ctr"/>
                        <a:endParaRPr lang="fa-IR" sz="1100"/>
                      </a:p>
                    </xdr:txBody>
                  </xdr:sp>
                  <xdr:sp macro="" textlink="">
                    <xdr:nvSpPr>
                      <xdr:cNvPr id="64" name="Trapezoid 3"/>
                      <xdr:cNvSpPr/>
                    </xdr:nvSpPr>
                    <xdr:spPr>
                      <a:xfrm>
                        <a:off x="7046988" y="511023"/>
                        <a:ext cx="7378851" cy="2265590"/>
                      </a:xfrm>
                      <a:prstGeom prst="trapezoid">
                        <a:avLst>
                          <a:gd name="adj" fmla="val 75154"/>
                        </a:avLst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1" anchor="ctr"/>
                      <a:lstStyle/>
                      <a:p>
                        <a:pPr algn="ctr"/>
                        <a:endParaRPr lang="fa-IR" sz="1100"/>
                      </a:p>
                    </xdr:txBody>
                  </xdr:sp>
                  <xdr:cxnSp macro="">
                    <xdr:nvCxnSpPr>
                      <xdr:cNvPr id="65" name="Straight Connector 64"/>
                      <xdr:cNvCxnSpPr/>
                    </xdr:nvCxnSpPr>
                    <xdr:spPr>
                      <a:xfrm rot="5400000">
                        <a:off x="8029671" y="1639970"/>
                        <a:ext cx="2265589" cy="1588"/>
                      </a:xfrm>
                      <a:prstGeom prst="line">
                        <a:avLst/>
                      </a:prstGeom>
                      <a:effectLst/>
                    </xdr:spPr>
                    <xdr:style>
                      <a:lnRef idx="2">
                        <a:schemeClr val="dk1"/>
                      </a:lnRef>
                      <a:fillRef idx="0">
                        <a:schemeClr val="dk1"/>
                      </a:fillRef>
                      <a:effectRef idx="1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6" name="Straight Connector 7"/>
                      <xdr:cNvCxnSpPr/>
                    </xdr:nvCxnSpPr>
                    <xdr:spPr>
                      <a:xfrm rot="16200000" flipH="1">
                        <a:off x="9603619" y="1643818"/>
                        <a:ext cx="2265590" cy="1588"/>
                      </a:xfrm>
                      <a:prstGeom prst="line">
                        <a:avLst/>
                      </a:prstGeom>
                      <a:effectLst/>
                    </xdr:spPr>
                    <xdr:style>
                      <a:lnRef idx="2">
                        <a:schemeClr val="dk1"/>
                      </a:lnRef>
                      <a:fillRef idx="0">
                        <a:schemeClr val="dk1"/>
                      </a:fillRef>
                      <a:effectRef idx="1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7" name="Straight Connector 9"/>
                      <xdr:cNvCxnSpPr/>
                    </xdr:nvCxnSpPr>
                    <xdr:spPr>
                      <a:xfrm rot="5400000">
                        <a:off x="11191243" y="1643062"/>
                        <a:ext cx="2265589" cy="1588"/>
                      </a:xfrm>
                      <a:prstGeom prst="line">
                        <a:avLst/>
                      </a:prstGeom>
                      <a:effectLst/>
                    </xdr:spPr>
                    <xdr:style>
                      <a:lnRef idx="2">
                        <a:schemeClr val="dk1"/>
                      </a:lnRef>
                      <a:fillRef idx="0">
                        <a:schemeClr val="dk1"/>
                      </a:fillRef>
                      <a:effectRef idx="1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8" name="Straight Connector 11"/>
                      <xdr:cNvCxnSpPr/>
                    </xdr:nvCxnSpPr>
                    <xdr:spPr>
                      <a:xfrm rot="16200000" flipH="1">
                        <a:off x="8823624" y="863823"/>
                        <a:ext cx="2261474" cy="1564105"/>
                      </a:xfrm>
                      <a:prstGeom prst="line">
                        <a:avLst/>
                      </a:prstGeom>
                      <a:effectLst/>
                    </xdr:spPr>
                    <xdr:style>
                      <a:lnRef idx="2">
                        <a:schemeClr val="dk1"/>
                      </a:lnRef>
                      <a:fillRef idx="0">
                        <a:schemeClr val="dk1"/>
                      </a:fillRef>
                      <a:effectRef idx="1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9" name="Straight Connector 15"/>
                      <xdr:cNvCxnSpPr>
                        <a:endCxn id="56" idx="3"/>
                      </xdr:cNvCxnSpPr>
                    </xdr:nvCxnSpPr>
                    <xdr:spPr>
                      <a:xfrm rot="5400000" flipH="1" flipV="1">
                        <a:off x="10397454" y="893787"/>
                        <a:ext cx="2221785" cy="1543866"/>
                      </a:xfrm>
                      <a:prstGeom prst="line">
                        <a:avLst/>
                      </a:prstGeom>
                      <a:effectLst/>
                    </xdr:spPr>
                    <xdr:style>
                      <a:lnRef idx="2">
                        <a:schemeClr val="dk1"/>
                      </a:lnRef>
                      <a:fillRef idx="0">
                        <a:schemeClr val="dk1"/>
                      </a:fillRef>
                      <a:effectRef idx="1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sp macro="" textlink="">
                  <xdr:nvSpPr>
                    <xdr:cNvPr id="52" name="Isosceles Triangle 51"/>
                    <xdr:cNvSpPr/>
                  </xdr:nvSpPr>
                  <xdr:spPr>
                    <a:xfrm>
                      <a:off x="6987273" y="2769053"/>
                      <a:ext cx="136071" cy="432000"/>
                    </a:xfrm>
                    <a:prstGeom prst="triangle">
                      <a:avLst/>
                    </a:prstGeom>
                  </xdr:spPr>
                  <xdr:style>
                    <a:lnRef idx="2">
                      <a:schemeClr val="accent6">
                        <a:shade val="50000"/>
                      </a:schemeClr>
                    </a:lnRef>
                    <a:fillRef idx="1">
                      <a:schemeClr val="accent6"/>
                    </a:fillRef>
                    <a:effectRef idx="0">
                      <a:schemeClr val="accent6"/>
                    </a:effectRef>
                    <a:fontRef idx="minor">
                      <a:schemeClr val="lt1"/>
                    </a:fontRef>
                  </xdr:style>
                  <xdr:txBody>
                    <a:bodyPr rtlCol="1" anchor="ctr"/>
                    <a:lstStyle/>
                    <a:p>
                      <a:pPr algn="ctr"/>
                      <a:endParaRPr lang="fa-IR" sz="1100"/>
                    </a:p>
                  </xdr:txBody>
                </xdr:sp>
                <xdr:sp macro="" textlink="">
                  <xdr:nvSpPr>
                    <xdr:cNvPr id="54" name="Flowchart: Connector 53"/>
                    <xdr:cNvSpPr/>
                  </xdr:nvSpPr>
                  <xdr:spPr>
                    <a:xfrm>
                      <a:off x="9121242" y="460933"/>
                      <a:ext cx="108000" cy="108857"/>
                    </a:xfrm>
                    <a:prstGeom prst="flowChartConnector">
                      <a:avLst/>
                    </a:prstGeom>
                  </xdr:spPr>
                  <xdr:style>
                    <a:lnRef idx="2">
                      <a:schemeClr val="accent6">
                        <a:shade val="50000"/>
                      </a:schemeClr>
                    </a:lnRef>
                    <a:fillRef idx="1">
                      <a:schemeClr val="accent6"/>
                    </a:fillRef>
                    <a:effectRef idx="0">
                      <a:schemeClr val="accent6"/>
                    </a:effectRef>
                    <a:fontRef idx="minor">
                      <a:schemeClr val="lt1"/>
                    </a:fontRef>
                  </xdr:style>
                  <xdr:txBody>
                    <a:bodyPr rtlCol="1" anchor="ctr"/>
                    <a:lstStyle/>
                    <a:p>
                      <a:pPr algn="ctr"/>
                      <a:endParaRPr lang="fa-IR" sz="1100"/>
                    </a:p>
                  </xdr:txBody>
                </xdr:sp>
                <xdr:sp macro="" textlink="">
                  <xdr:nvSpPr>
                    <xdr:cNvPr id="55" name="Flowchart: Connector 54"/>
                    <xdr:cNvSpPr/>
                  </xdr:nvSpPr>
                  <xdr:spPr>
                    <a:xfrm>
                      <a:off x="10688418" y="462677"/>
                      <a:ext cx="108000" cy="108000"/>
                    </a:xfrm>
                    <a:prstGeom prst="flowChartConnector">
                      <a:avLst/>
                    </a:prstGeom>
                  </xdr:spPr>
                  <xdr:style>
                    <a:lnRef idx="2">
                      <a:schemeClr val="accent6">
                        <a:shade val="50000"/>
                      </a:schemeClr>
                    </a:lnRef>
                    <a:fillRef idx="1">
                      <a:schemeClr val="accent6"/>
                    </a:fillRef>
                    <a:effectRef idx="0">
                      <a:schemeClr val="accent6"/>
                    </a:effectRef>
                    <a:fontRef idx="minor">
                      <a:schemeClr val="lt1"/>
                    </a:fontRef>
                  </xdr:style>
                  <xdr:txBody>
                    <a:bodyPr rtlCol="1" anchor="ctr"/>
                    <a:lstStyle/>
                    <a:p>
                      <a:pPr algn="ctr"/>
                      <a:endParaRPr lang="fa-IR" sz="1100"/>
                    </a:p>
                  </xdr:txBody>
                </xdr:sp>
                <xdr:sp macro="" textlink="">
                  <xdr:nvSpPr>
                    <xdr:cNvPr id="56" name="Flowchart: Connector 55"/>
                    <xdr:cNvSpPr/>
                  </xdr:nvSpPr>
                  <xdr:spPr>
                    <a:xfrm>
                      <a:off x="12264464" y="462643"/>
                      <a:ext cx="108000" cy="108000"/>
                    </a:xfrm>
                    <a:prstGeom prst="flowChartConnector">
                      <a:avLst/>
                    </a:prstGeom>
                  </xdr:spPr>
                  <xdr:style>
                    <a:lnRef idx="2">
                      <a:schemeClr val="accent6">
                        <a:shade val="50000"/>
                      </a:schemeClr>
                    </a:lnRef>
                    <a:fillRef idx="1">
                      <a:schemeClr val="accent6"/>
                    </a:fillRef>
                    <a:effectRef idx="0">
                      <a:schemeClr val="accent6"/>
                    </a:effectRef>
                    <a:fontRef idx="minor">
                      <a:schemeClr val="lt1"/>
                    </a:fontRef>
                  </xdr:style>
                  <xdr:txBody>
                    <a:bodyPr rtlCol="1" anchor="ctr"/>
                    <a:lstStyle/>
                    <a:p>
                      <a:pPr algn="ctr"/>
                      <a:endParaRPr lang="fa-IR" sz="1100"/>
                    </a:p>
                  </xdr:txBody>
                </xdr:sp>
                <xdr:sp macro="" textlink="">
                  <xdr:nvSpPr>
                    <xdr:cNvPr id="57" name="Flowchart: Connector 56"/>
                    <xdr:cNvSpPr/>
                  </xdr:nvSpPr>
                  <xdr:spPr>
                    <a:xfrm>
                      <a:off x="10688412" y="2728232"/>
                      <a:ext cx="108000" cy="108000"/>
                    </a:xfrm>
                    <a:prstGeom prst="flowChartConnector">
                      <a:avLst/>
                    </a:prstGeom>
                  </xdr:spPr>
                  <xdr:style>
                    <a:lnRef idx="2">
                      <a:schemeClr val="accent6">
                        <a:shade val="50000"/>
                      </a:schemeClr>
                    </a:lnRef>
                    <a:fillRef idx="1">
                      <a:schemeClr val="accent6"/>
                    </a:fillRef>
                    <a:effectRef idx="0">
                      <a:schemeClr val="accent6"/>
                    </a:effectRef>
                    <a:fontRef idx="minor">
                      <a:schemeClr val="lt1"/>
                    </a:fontRef>
                  </xdr:style>
                  <xdr:txBody>
                    <a:bodyPr rtlCol="1" anchor="ctr"/>
                    <a:lstStyle/>
                    <a:p>
                      <a:pPr algn="ctr"/>
                      <a:endParaRPr lang="fa-IR" sz="1100"/>
                    </a:p>
                  </xdr:txBody>
                </xdr:sp>
                <xdr:sp macro="" textlink="">
                  <xdr:nvSpPr>
                    <xdr:cNvPr id="58" name="Flowchart: Connector 57"/>
                    <xdr:cNvSpPr/>
                  </xdr:nvSpPr>
                  <xdr:spPr>
                    <a:xfrm>
                      <a:off x="12276413" y="2728231"/>
                      <a:ext cx="108000" cy="108000"/>
                    </a:xfrm>
                    <a:prstGeom prst="flowChartConnector">
                      <a:avLst/>
                    </a:prstGeom>
                  </xdr:spPr>
                  <xdr:style>
                    <a:lnRef idx="2">
                      <a:schemeClr val="accent6">
                        <a:shade val="50000"/>
                      </a:schemeClr>
                    </a:lnRef>
                    <a:fillRef idx="1">
                      <a:schemeClr val="accent6"/>
                    </a:fillRef>
                    <a:effectRef idx="0">
                      <a:schemeClr val="accent6"/>
                    </a:effectRef>
                    <a:fontRef idx="minor">
                      <a:schemeClr val="lt1"/>
                    </a:fontRef>
                  </xdr:style>
                  <xdr:txBody>
                    <a:bodyPr rtlCol="1" anchor="ctr"/>
                    <a:lstStyle/>
                    <a:p>
                      <a:pPr algn="ctr"/>
                      <a:endParaRPr lang="fa-IR" sz="1100"/>
                    </a:p>
                  </xdr:txBody>
                </xdr:sp>
                <xdr:sp macro="" textlink="">
                  <xdr:nvSpPr>
                    <xdr:cNvPr id="59" name="Flowchart: Connector 58"/>
                    <xdr:cNvSpPr/>
                  </xdr:nvSpPr>
                  <xdr:spPr>
                    <a:xfrm>
                      <a:off x="9109275" y="2721429"/>
                      <a:ext cx="108000" cy="108000"/>
                    </a:xfrm>
                    <a:prstGeom prst="flowChartConnector">
                      <a:avLst/>
                    </a:prstGeom>
                  </xdr:spPr>
                  <xdr:style>
                    <a:lnRef idx="2">
                      <a:schemeClr val="accent6">
                        <a:shade val="50000"/>
                      </a:schemeClr>
                    </a:lnRef>
                    <a:fillRef idx="1">
                      <a:schemeClr val="accent6"/>
                    </a:fillRef>
                    <a:effectRef idx="0">
                      <a:schemeClr val="accent6"/>
                    </a:effectRef>
                    <a:fontRef idx="minor">
                      <a:schemeClr val="lt1"/>
                    </a:fontRef>
                  </xdr:style>
                  <xdr:txBody>
                    <a:bodyPr rtlCol="1" anchor="ctr"/>
                    <a:lstStyle/>
                    <a:p>
                      <a:pPr algn="ctr"/>
                      <a:endParaRPr lang="fa-IR" sz="1100"/>
                    </a:p>
                  </xdr:txBody>
                </xdr:sp>
                <xdr:sp macro="" textlink="">
                  <xdr:nvSpPr>
                    <xdr:cNvPr id="60" name="Flowchart: Connector 59"/>
                    <xdr:cNvSpPr/>
                  </xdr:nvSpPr>
                  <xdr:spPr>
                    <a:xfrm>
                      <a:off x="7000875" y="2728233"/>
                      <a:ext cx="108000" cy="108000"/>
                    </a:xfrm>
                    <a:prstGeom prst="flowChartConnector">
                      <a:avLst/>
                    </a:prstGeom>
                  </xdr:spPr>
                  <xdr:style>
                    <a:lnRef idx="2">
                      <a:schemeClr val="accent6">
                        <a:shade val="50000"/>
                      </a:schemeClr>
                    </a:lnRef>
                    <a:fillRef idx="1">
                      <a:schemeClr val="accent6"/>
                    </a:fillRef>
                    <a:effectRef idx="0">
                      <a:schemeClr val="accent6"/>
                    </a:effectRef>
                    <a:fontRef idx="minor">
                      <a:schemeClr val="lt1"/>
                    </a:fontRef>
                  </xdr:style>
                  <xdr:txBody>
                    <a:bodyPr rtlCol="1" anchor="ctr"/>
                    <a:lstStyle/>
                    <a:p>
                      <a:pPr algn="ctr"/>
                      <a:endParaRPr lang="fa-IR" sz="1100"/>
                    </a:p>
                  </xdr:txBody>
                </xdr:sp>
              </xdr:grpSp>
              <xdr:grpSp>
                <xdr:nvGrpSpPr>
                  <xdr:cNvPr id="10" name="Group 160"/>
                  <xdr:cNvGrpSpPr/>
                </xdr:nvGrpSpPr>
                <xdr:grpSpPr>
                  <a:xfrm>
                    <a:off x="6554680" y="50823"/>
                    <a:ext cx="8393861" cy="3552996"/>
                    <a:chOff x="6554680" y="50823"/>
                    <a:chExt cx="8393861" cy="3552996"/>
                  </a:xfrm>
                </xdr:grpSpPr>
                <xdr:grpSp>
                  <xdr:nvGrpSpPr>
                    <xdr:cNvPr id="11" name="Group 36"/>
                    <xdr:cNvGrpSpPr/>
                  </xdr:nvGrpSpPr>
                  <xdr:grpSpPr>
                    <a:xfrm>
                      <a:off x="6554680" y="2552513"/>
                      <a:ext cx="488465" cy="498117"/>
                      <a:chOff x="6465094" y="2190750"/>
                      <a:chExt cx="488157" cy="511856"/>
                    </a:xfrm>
                  </xdr:grpSpPr>
                  <xdr:cxnSp macro="">
                    <xdr:nvCxnSpPr>
                      <xdr:cNvPr id="47" name="Straight Arrow Connector 46"/>
                      <xdr:cNvCxnSpPr/>
                    </xdr:nvCxnSpPr>
                    <xdr:spPr>
                      <a:xfrm rot="5400000" flipH="1" flipV="1">
                        <a:off x="6443557" y="2547363"/>
                        <a:ext cx="298205" cy="158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48" name="Straight Arrow Connector 47"/>
                      <xdr:cNvCxnSpPr/>
                    </xdr:nvCxnSpPr>
                    <xdr:spPr>
                      <a:xfrm>
                        <a:off x="6585857" y="2701018"/>
                        <a:ext cx="285449" cy="158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49" name="TextBox 48"/>
                      <xdr:cNvSpPr txBox="1"/>
                    </xdr:nvSpPr>
                    <xdr:spPr>
                      <a:xfrm>
                        <a:off x="6465094" y="2190750"/>
                        <a:ext cx="202406" cy="178594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t"/>
                      <a:lstStyle/>
                      <a:p>
                        <a:r>
                          <a:rPr lang="en-US" sz="1100"/>
                          <a:t>2</a:t>
                        </a:r>
                        <a:endParaRPr lang="fa-IR" sz="1100"/>
                      </a:p>
                    </xdr:txBody>
                  </xdr:sp>
                  <xdr:sp macro="" textlink="">
                    <xdr:nvSpPr>
                      <xdr:cNvPr id="50" name="TextBox 49"/>
                      <xdr:cNvSpPr txBox="1"/>
                    </xdr:nvSpPr>
                    <xdr:spPr>
                      <a:xfrm>
                        <a:off x="6828235" y="2530078"/>
                        <a:ext cx="125016" cy="136922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t"/>
                      <a:lstStyle/>
                      <a:p>
                        <a:r>
                          <a:rPr lang="en-US" sz="1100"/>
                          <a:t>1</a:t>
                        </a:r>
                        <a:endParaRPr lang="fa-IR" sz="1100"/>
                      </a:p>
                    </xdr:txBody>
                  </xdr:sp>
                </xdr:grpSp>
                <xdr:grpSp>
                  <xdr:nvGrpSpPr>
                    <xdr:cNvPr id="12" name="Group 77"/>
                    <xdr:cNvGrpSpPr/>
                  </xdr:nvGrpSpPr>
                  <xdr:grpSpPr>
                    <a:xfrm>
                      <a:off x="9077600" y="3135923"/>
                      <a:ext cx="488157" cy="467896"/>
                      <a:chOff x="6465094" y="2190750"/>
                      <a:chExt cx="488157" cy="511856"/>
                    </a:xfrm>
                  </xdr:grpSpPr>
                  <xdr:cxnSp macro="">
                    <xdr:nvCxnSpPr>
                      <xdr:cNvPr id="43" name="Straight Arrow Connector 42"/>
                      <xdr:cNvCxnSpPr/>
                    </xdr:nvCxnSpPr>
                    <xdr:spPr>
                      <a:xfrm rot="5400000" flipH="1" flipV="1">
                        <a:off x="6443557" y="2547363"/>
                        <a:ext cx="298205" cy="158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44" name="Straight Arrow Connector 43"/>
                      <xdr:cNvCxnSpPr/>
                    </xdr:nvCxnSpPr>
                    <xdr:spPr>
                      <a:xfrm>
                        <a:off x="6585857" y="2701018"/>
                        <a:ext cx="285449" cy="158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45" name="TextBox 44"/>
                      <xdr:cNvSpPr txBox="1"/>
                    </xdr:nvSpPr>
                    <xdr:spPr>
                      <a:xfrm>
                        <a:off x="6465094" y="2190750"/>
                        <a:ext cx="202406" cy="178594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t"/>
                      <a:lstStyle/>
                      <a:p>
                        <a:r>
                          <a:rPr lang="en-US" sz="1100"/>
                          <a:t>4</a:t>
                        </a:r>
                        <a:endParaRPr lang="fa-IR" sz="1100"/>
                      </a:p>
                    </xdr:txBody>
                  </xdr:sp>
                  <xdr:sp macro="" textlink="">
                    <xdr:nvSpPr>
                      <xdr:cNvPr id="46" name="TextBox 45"/>
                      <xdr:cNvSpPr txBox="1"/>
                    </xdr:nvSpPr>
                    <xdr:spPr>
                      <a:xfrm>
                        <a:off x="6828235" y="2530078"/>
                        <a:ext cx="125016" cy="136922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t"/>
                      <a:lstStyle/>
                      <a:p>
                        <a:r>
                          <a:rPr lang="en-US" sz="1100"/>
                          <a:t>3</a:t>
                        </a:r>
                        <a:endParaRPr lang="fa-IR" sz="1100"/>
                      </a:p>
                    </xdr:txBody>
                  </xdr:sp>
                </xdr:grpSp>
                <xdr:grpSp>
                  <xdr:nvGrpSpPr>
                    <xdr:cNvPr id="13" name="Group 112"/>
                    <xdr:cNvGrpSpPr/>
                  </xdr:nvGrpSpPr>
                  <xdr:grpSpPr>
                    <a:xfrm>
                      <a:off x="12233466" y="58615"/>
                      <a:ext cx="925410" cy="436751"/>
                      <a:chOff x="6435802" y="2257897"/>
                      <a:chExt cx="924827" cy="444709"/>
                    </a:xfrm>
                  </xdr:grpSpPr>
                  <xdr:cxnSp macro="">
                    <xdr:nvCxnSpPr>
                      <xdr:cNvPr id="39" name="Straight Arrow Connector 38"/>
                      <xdr:cNvCxnSpPr/>
                    </xdr:nvCxnSpPr>
                    <xdr:spPr>
                      <a:xfrm rot="5400000" flipH="1" flipV="1">
                        <a:off x="6443557" y="2547363"/>
                        <a:ext cx="298205" cy="158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40" name="Straight Arrow Connector 39"/>
                      <xdr:cNvCxnSpPr/>
                    </xdr:nvCxnSpPr>
                    <xdr:spPr>
                      <a:xfrm>
                        <a:off x="6585857" y="2701018"/>
                        <a:ext cx="285449" cy="158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41" name="TextBox 40"/>
                      <xdr:cNvSpPr txBox="1"/>
                    </xdr:nvSpPr>
                    <xdr:spPr>
                      <a:xfrm>
                        <a:off x="6435802" y="2257897"/>
                        <a:ext cx="483611" cy="52223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t"/>
                      <a:lstStyle/>
                      <a:p>
                        <a:r>
                          <a:rPr lang="en-US" sz="1100"/>
                          <a:t>16</a:t>
                        </a:r>
                        <a:endParaRPr lang="fa-IR" sz="1100"/>
                      </a:p>
                    </xdr:txBody>
                  </xdr:sp>
                  <xdr:sp macro="" textlink="">
                    <xdr:nvSpPr>
                      <xdr:cNvPr id="42" name="TextBox 41"/>
                      <xdr:cNvSpPr txBox="1"/>
                    </xdr:nvSpPr>
                    <xdr:spPr>
                      <a:xfrm>
                        <a:off x="6828231" y="2530076"/>
                        <a:ext cx="532398" cy="141023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t"/>
                      <a:lstStyle/>
                      <a:p>
                        <a:r>
                          <a:rPr lang="en-US" sz="1100"/>
                          <a:t>15</a:t>
                        </a:r>
                        <a:endParaRPr lang="fa-IR" sz="1100"/>
                      </a:p>
                    </xdr:txBody>
                  </xdr:sp>
                </xdr:grpSp>
                <xdr:grpSp>
                  <xdr:nvGrpSpPr>
                    <xdr:cNvPr id="14" name="Group 117"/>
                    <xdr:cNvGrpSpPr/>
                  </xdr:nvGrpSpPr>
                  <xdr:grpSpPr>
                    <a:xfrm>
                      <a:off x="10627412" y="64184"/>
                      <a:ext cx="807670" cy="428457"/>
                      <a:chOff x="6428486" y="2270284"/>
                      <a:chExt cx="807161" cy="432322"/>
                    </a:xfrm>
                  </xdr:grpSpPr>
                  <xdr:cxnSp macro="">
                    <xdr:nvCxnSpPr>
                      <xdr:cNvPr id="35" name="Straight Arrow Connector 34"/>
                      <xdr:cNvCxnSpPr/>
                    </xdr:nvCxnSpPr>
                    <xdr:spPr>
                      <a:xfrm rot="5400000" flipH="1" flipV="1">
                        <a:off x="6443557" y="2547363"/>
                        <a:ext cx="298205" cy="158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36" name="Straight Arrow Connector 35"/>
                      <xdr:cNvCxnSpPr/>
                    </xdr:nvCxnSpPr>
                    <xdr:spPr>
                      <a:xfrm>
                        <a:off x="6585857" y="2701018"/>
                        <a:ext cx="285449" cy="158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7" name="TextBox 36"/>
                      <xdr:cNvSpPr txBox="1"/>
                    </xdr:nvSpPr>
                    <xdr:spPr>
                      <a:xfrm>
                        <a:off x="6428486" y="2270284"/>
                        <a:ext cx="525688" cy="171392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t"/>
                      <a:lstStyle/>
                      <a:p>
                        <a:r>
                          <a:rPr lang="en-US" sz="1100"/>
                          <a:t>14</a:t>
                        </a:r>
                        <a:endParaRPr lang="fa-IR" sz="1100"/>
                      </a:p>
                    </xdr:txBody>
                  </xdr:sp>
                  <xdr:sp macro="" textlink="">
                    <xdr:nvSpPr>
                      <xdr:cNvPr id="38" name="TextBox 37"/>
                      <xdr:cNvSpPr txBox="1"/>
                    </xdr:nvSpPr>
                    <xdr:spPr>
                      <a:xfrm>
                        <a:off x="6828230" y="2589975"/>
                        <a:ext cx="407417" cy="59144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t"/>
                      <a:lstStyle/>
                      <a:p>
                        <a:r>
                          <a:rPr lang="en-US" sz="1100"/>
                          <a:t>13</a:t>
                        </a:r>
                        <a:endParaRPr lang="fa-IR" sz="1100"/>
                      </a:p>
                    </xdr:txBody>
                  </xdr:sp>
                </xdr:grpSp>
                <xdr:grpSp>
                  <xdr:nvGrpSpPr>
                    <xdr:cNvPr id="15" name="Group 122"/>
                    <xdr:cNvGrpSpPr/>
                  </xdr:nvGrpSpPr>
                  <xdr:grpSpPr>
                    <a:xfrm>
                      <a:off x="14460382" y="2548586"/>
                      <a:ext cx="488159" cy="502699"/>
                      <a:chOff x="6465092" y="2190749"/>
                      <a:chExt cx="488159" cy="511857"/>
                    </a:xfrm>
                  </xdr:grpSpPr>
                  <xdr:cxnSp macro="">
                    <xdr:nvCxnSpPr>
                      <xdr:cNvPr id="31" name="Straight Arrow Connector 30"/>
                      <xdr:cNvCxnSpPr/>
                    </xdr:nvCxnSpPr>
                    <xdr:spPr>
                      <a:xfrm rot="5400000" flipH="1" flipV="1">
                        <a:off x="6443557" y="2547363"/>
                        <a:ext cx="298205" cy="158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32" name="Straight Arrow Connector 31"/>
                      <xdr:cNvCxnSpPr/>
                    </xdr:nvCxnSpPr>
                    <xdr:spPr>
                      <a:xfrm>
                        <a:off x="6585857" y="2701018"/>
                        <a:ext cx="285449" cy="158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3" name="TextBox 32"/>
                      <xdr:cNvSpPr txBox="1"/>
                    </xdr:nvSpPr>
                    <xdr:spPr>
                      <a:xfrm>
                        <a:off x="6465092" y="2190749"/>
                        <a:ext cx="417121" cy="215468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t"/>
                      <a:lstStyle/>
                      <a:p>
                        <a:r>
                          <a:rPr lang="en-US" sz="1100"/>
                          <a:t>10</a:t>
                        </a:r>
                        <a:endParaRPr lang="fa-IR" sz="1100"/>
                      </a:p>
                    </xdr:txBody>
                  </xdr:sp>
                  <xdr:sp macro="" textlink="">
                    <xdr:nvSpPr>
                      <xdr:cNvPr id="34" name="TextBox 33"/>
                      <xdr:cNvSpPr txBox="1"/>
                    </xdr:nvSpPr>
                    <xdr:spPr>
                      <a:xfrm>
                        <a:off x="6828235" y="2530078"/>
                        <a:ext cx="125016" cy="136922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t"/>
                      <a:lstStyle/>
                      <a:p>
                        <a:r>
                          <a:rPr lang="en-US" sz="1100"/>
                          <a:t>9</a:t>
                        </a:r>
                        <a:endParaRPr lang="fa-IR" sz="1100"/>
                      </a:p>
                    </xdr:txBody>
                  </xdr:sp>
                </xdr:grpSp>
                <xdr:grpSp>
                  <xdr:nvGrpSpPr>
                    <xdr:cNvPr id="16" name="Group 127"/>
                    <xdr:cNvGrpSpPr/>
                  </xdr:nvGrpSpPr>
                  <xdr:grpSpPr>
                    <a:xfrm>
                      <a:off x="12312131" y="3135932"/>
                      <a:ext cx="480830" cy="458837"/>
                      <a:chOff x="6472421" y="2231119"/>
                      <a:chExt cx="480830" cy="471487"/>
                    </a:xfrm>
                  </xdr:grpSpPr>
                  <xdr:cxnSp macro="">
                    <xdr:nvCxnSpPr>
                      <xdr:cNvPr id="27" name="Straight Arrow Connector 26"/>
                      <xdr:cNvCxnSpPr/>
                    </xdr:nvCxnSpPr>
                    <xdr:spPr>
                      <a:xfrm rot="5400000" flipH="1" flipV="1">
                        <a:off x="6443557" y="2547363"/>
                        <a:ext cx="298205" cy="158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8" name="Straight Arrow Connector 27"/>
                      <xdr:cNvCxnSpPr/>
                    </xdr:nvCxnSpPr>
                    <xdr:spPr>
                      <a:xfrm>
                        <a:off x="6585857" y="2701018"/>
                        <a:ext cx="285449" cy="158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9" name="TextBox 28"/>
                      <xdr:cNvSpPr txBox="1"/>
                    </xdr:nvSpPr>
                    <xdr:spPr>
                      <a:xfrm>
                        <a:off x="6472421" y="2231119"/>
                        <a:ext cx="202406" cy="77997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t"/>
                      <a:lstStyle/>
                      <a:p>
                        <a:r>
                          <a:rPr lang="en-US" sz="1100"/>
                          <a:t>8</a:t>
                        </a:r>
                        <a:endParaRPr lang="fa-IR" sz="1100"/>
                      </a:p>
                    </xdr:txBody>
                  </xdr:sp>
                  <xdr:sp macro="" textlink="">
                    <xdr:nvSpPr>
                      <xdr:cNvPr id="30" name="TextBox 29"/>
                      <xdr:cNvSpPr txBox="1"/>
                    </xdr:nvSpPr>
                    <xdr:spPr>
                      <a:xfrm>
                        <a:off x="6828235" y="2530078"/>
                        <a:ext cx="125016" cy="136922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t"/>
                      <a:lstStyle/>
                      <a:p>
                        <a:r>
                          <a:rPr lang="en-US" sz="1100"/>
                          <a:t>7</a:t>
                        </a:r>
                        <a:endParaRPr lang="fa-IR" sz="1100"/>
                      </a:p>
                    </xdr:txBody>
                  </xdr:sp>
                </xdr:grpSp>
                <xdr:grpSp>
                  <xdr:nvGrpSpPr>
                    <xdr:cNvPr id="17" name="Group 132"/>
                    <xdr:cNvGrpSpPr/>
                  </xdr:nvGrpSpPr>
                  <xdr:grpSpPr>
                    <a:xfrm>
                      <a:off x="10712304" y="3157904"/>
                      <a:ext cx="394171" cy="329716"/>
                      <a:chOff x="6521267" y="2299821"/>
                      <a:chExt cx="431984" cy="402785"/>
                    </a:xfrm>
                  </xdr:grpSpPr>
                  <xdr:cxnSp macro="">
                    <xdr:nvCxnSpPr>
                      <xdr:cNvPr id="23" name="Straight Arrow Connector 22"/>
                      <xdr:cNvCxnSpPr/>
                    </xdr:nvCxnSpPr>
                    <xdr:spPr>
                      <a:xfrm rot="5400000" flipH="1" flipV="1">
                        <a:off x="6443557" y="2547363"/>
                        <a:ext cx="298205" cy="158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4" name="Straight Arrow Connector 23"/>
                      <xdr:cNvCxnSpPr/>
                    </xdr:nvCxnSpPr>
                    <xdr:spPr>
                      <a:xfrm>
                        <a:off x="6585857" y="2701018"/>
                        <a:ext cx="285449" cy="158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5" name="TextBox 24"/>
                      <xdr:cNvSpPr txBox="1"/>
                    </xdr:nvSpPr>
                    <xdr:spPr>
                      <a:xfrm>
                        <a:off x="6521267" y="2299821"/>
                        <a:ext cx="202405" cy="78470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t"/>
                      <a:lstStyle/>
                      <a:p>
                        <a:r>
                          <a:rPr lang="en-US" sz="1100"/>
                          <a:t>6</a:t>
                        </a:r>
                        <a:endParaRPr lang="fa-IR" sz="1100"/>
                      </a:p>
                    </xdr:txBody>
                  </xdr:sp>
                  <xdr:sp macro="" textlink="">
                    <xdr:nvSpPr>
                      <xdr:cNvPr id="26" name="TextBox 25"/>
                      <xdr:cNvSpPr txBox="1"/>
                    </xdr:nvSpPr>
                    <xdr:spPr>
                      <a:xfrm>
                        <a:off x="6828235" y="2530078"/>
                        <a:ext cx="125016" cy="136922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t"/>
                      <a:lstStyle/>
                      <a:p>
                        <a:r>
                          <a:rPr lang="en-US" sz="1100"/>
                          <a:t>5</a:t>
                        </a:r>
                        <a:endParaRPr lang="fa-IR" sz="1100"/>
                      </a:p>
                    </xdr:txBody>
                  </xdr:sp>
                </xdr:grpSp>
                <xdr:grpSp>
                  <xdr:nvGrpSpPr>
                    <xdr:cNvPr id="18" name="Group 137"/>
                    <xdr:cNvGrpSpPr/>
                  </xdr:nvGrpSpPr>
                  <xdr:grpSpPr>
                    <a:xfrm>
                      <a:off x="9056248" y="50823"/>
                      <a:ext cx="944067" cy="444536"/>
                      <a:chOff x="6428779" y="2249969"/>
                      <a:chExt cx="936401" cy="452637"/>
                    </a:xfrm>
                  </xdr:grpSpPr>
                  <xdr:cxnSp macro="">
                    <xdr:nvCxnSpPr>
                      <xdr:cNvPr id="19" name="Straight Arrow Connector 18"/>
                      <xdr:cNvCxnSpPr/>
                    </xdr:nvCxnSpPr>
                    <xdr:spPr>
                      <a:xfrm rot="5400000" flipH="1" flipV="1">
                        <a:off x="6443557" y="2547363"/>
                        <a:ext cx="298205" cy="158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" name="Straight Arrow Connector 19"/>
                      <xdr:cNvCxnSpPr/>
                    </xdr:nvCxnSpPr>
                    <xdr:spPr>
                      <a:xfrm>
                        <a:off x="6585857" y="2701018"/>
                        <a:ext cx="285449" cy="158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1" name="TextBox 20"/>
                      <xdr:cNvSpPr txBox="1"/>
                    </xdr:nvSpPr>
                    <xdr:spPr>
                      <a:xfrm>
                        <a:off x="6428779" y="2249969"/>
                        <a:ext cx="527110" cy="137013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t"/>
                      <a:lstStyle/>
                      <a:p>
                        <a:r>
                          <a:rPr lang="en-US" sz="1100"/>
                          <a:t>12</a:t>
                        </a:r>
                        <a:endParaRPr lang="fa-IR" sz="1100"/>
                      </a:p>
                    </xdr:txBody>
                  </xdr:sp>
                  <xdr:sp macro="" textlink="">
                    <xdr:nvSpPr>
                      <xdr:cNvPr id="22" name="TextBox 21"/>
                      <xdr:cNvSpPr txBox="1"/>
                    </xdr:nvSpPr>
                    <xdr:spPr>
                      <a:xfrm>
                        <a:off x="6828237" y="2548849"/>
                        <a:ext cx="536943" cy="122258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t"/>
                      <a:lstStyle/>
                      <a:p>
                        <a:r>
                          <a:rPr lang="en-US" sz="1100"/>
                          <a:t>11</a:t>
                        </a:r>
                        <a:endParaRPr lang="fa-IR" sz="1100"/>
                      </a:p>
                    </xdr:txBody>
                  </xdr:sp>
                </xdr:grpSp>
              </xdr:grpSp>
            </xdr:grpSp>
            <xdr:grpSp>
              <xdr:nvGrpSpPr>
                <xdr:cNvPr id="5" name="Group 168"/>
                <xdr:cNvGrpSpPr/>
              </xdr:nvGrpSpPr>
              <xdr:grpSpPr>
                <a:xfrm>
                  <a:off x="15034846" y="527538"/>
                  <a:ext cx="115327" cy="2544030"/>
                  <a:chOff x="15034846" y="527538"/>
                  <a:chExt cx="115327" cy="2544030"/>
                </a:xfrm>
              </xdr:grpSpPr>
              <xdr:cxnSp macro="">
                <xdr:nvCxnSpPr>
                  <xdr:cNvPr id="6" name="Straight Arrow Connector 5"/>
                  <xdr:cNvCxnSpPr/>
                </xdr:nvCxnSpPr>
                <xdr:spPr>
                  <a:xfrm rot="5400000" flipH="1" flipV="1">
                    <a:off x="13818577" y="1802423"/>
                    <a:ext cx="2535116" cy="1588"/>
                  </a:xfrm>
                  <a:prstGeom prst="straightConnector1">
                    <a:avLst/>
                  </a:prstGeom>
                  <a:ln>
                    <a:solidFill>
                      <a:schemeClr val="accent1"/>
                    </a:solidFill>
                    <a:headEnd type="triangle" w="med" len="med"/>
                    <a:tailEnd type="triangle" w="med" len="med"/>
                  </a:ln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" name="Straight Connector 6"/>
                  <xdr:cNvCxnSpPr/>
                </xdr:nvCxnSpPr>
                <xdr:spPr>
                  <a:xfrm>
                    <a:off x="15034846" y="527538"/>
                    <a:ext cx="108000" cy="1588"/>
                  </a:xfrm>
                  <a:prstGeom prst="line">
                    <a:avLst/>
                  </a:prstGeom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" name="Straight Connector 7"/>
                  <xdr:cNvCxnSpPr/>
                </xdr:nvCxnSpPr>
                <xdr:spPr>
                  <a:xfrm>
                    <a:off x="15042173" y="3069980"/>
                    <a:ext cx="108000" cy="1588"/>
                  </a:xfrm>
                  <a:prstGeom prst="line">
                    <a:avLst/>
                  </a:prstGeom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sp macro="" textlink="">
            <xdr:nvSpPr>
              <xdr:cNvPr id="73" name="Isosceles Triangle 72"/>
              <xdr:cNvSpPr/>
            </xdr:nvSpPr>
            <xdr:spPr>
              <a:xfrm>
                <a:off x="14279033" y="3095453"/>
                <a:ext cx="135900" cy="479798"/>
              </a:xfrm>
              <a:prstGeom prst="triangle">
                <a:avLst/>
              </a:prstGeom>
            </xdr:spPr>
            <xdr:style>
              <a:lnRef idx="2">
                <a:schemeClr val="accent6">
                  <a:shade val="50000"/>
                </a:schemeClr>
              </a:lnRef>
              <a:fillRef idx="1">
                <a:schemeClr val="accent6"/>
              </a:fillRef>
              <a:effectRef idx="0">
                <a:schemeClr val="accent6"/>
              </a:effectRef>
              <a:fontRef idx="minor">
                <a:schemeClr val="lt1"/>
              </a:fontRef>
            </xdr:style>
            <xdr:txBody>
              <a:bodyPr rtlCol="1" anchor="ctr"/>
              <a:lstStyle/>
              <a:p>
                <a:pPr algn="ctr"/>
                <a:endParaRPr lang="fa-IR" sz="1100"/>
              </a:p>
            </xdr:txBody>
          </xdr:sp>
          <xdr:sp macro="" textlink="">
            <xdr:nvSpPr>
              <xdr:cNvPr id="74" name="Flowchart: Connector 73"/>
              <xdr:cNvSpPr/>
            </xdr:nvSpPr>
            <xdr:spPr>
              <a:xfrm>
                <a:off x="14292618" y="3050117"/>
                <a:ext cx="107864" cy="119949"/>
              </a:xfrm>
              <a:prstGeom prst="flowChartConnector">
                <a:avLst/>
              </a:prstGeom>
            </xdr:spPr>
            <xdr:style>
              <a:lnRef idx="2">
                <a:schemeClr val="accent6">
                  <a:shade val="50000"/>
                </a:schemeClr>
              </a:lnRef>
              <a:fillRef idx="1">
                <a:schemeClr val="accent6"/>
              </a:fillRef>
              <a:effectRef idx="0">
                <a:schemeClr val="accent6"/>
              </a:effectRef>
              <a:fontRef idx="minor">
                <a:schemeClr val="lt1"/>
              </a:fontRef>
            </xdr:style>
            <xdr:txBody>
              <a:bodyPr rtlCol="1" anchor="ctr"/>
              <a:lstStyle/>
              <a:p>
                <a:pPr algn="ctr"/>
                <a:endParaRPr lang="fa-IR" sz="1100"/>
              </a:p>
            </xdr:txBody>
          </xdr:sp>
        </xdr:grpSp>
        <xdr:cxnSp macro="">
          <xdr:nvCxnSpPr>
            <xdr:cNvPr id="79" name="Straight Arrow Connector 78"/>
            <xdr:cNvCxnSpPr/>
          </xdr:nvCxnSpPr>
          <xdr:spPr>
            <a:xfrm>
              <a:off x="7013121" y="3678011"/>
              <a:ext cx="7377793" cy="1588"/>
            </a:xfrm>
            <a:prstGeom prst="straightConnector1">
              <a:avLst/>
            </a:prstGeom>
            <a:ln>
              <a:headEnd type="triangle" w="med" len="med"/>
              <a:tailEnd type="triangl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" name="Straight Connector 80"/>
            <xdr:cNvCxnSpPr/>
          </xdr:nvCxnSpPr>
          <xdr:spPr>
            <a:xfrm rot="5400000">
              <a:off x="6956404" y="3681664"/>
              <a:ext cx="110721" cy="158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3" name="Straight Connector 82"/>
            <xdr:cNvCxnSpPr/>
          </xdr:nvCxnSpPr>
          <xdr:spPr>
            <a:xfrm rot="5400000">
              <a:off x="14342350" y="3687110"/>
              <a:ext cx="108000" cy="158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4" name="TextBox 83"/>
            <xdr:cNvSpPr txBox="1"/>
          </xdr:nvSpPr>
          <xdr:spPr>
            <a:xfrm>
              <a:off x="10552339" y="3571875"/>
              <a:ext cx="564697" cy="22451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t"/>
            <a:lstStyle/>
            <a:p>
              <a:pPr algn="ctr"/>
              <a:r>
                <a:rPr lang="en-US" sz="1100"/>
                <a:t>4*L</a:t>
              </a:r>
              <a:endParaRPr lang="fa-IR" sz="1100"/>
            </a:p>
          </xdr:txBody>
        </xdr:sp>
      </xdr:grpSp>
      <xdr:sp macro="" textlink="">
        <xdr:nvSpPr>
          <xdr:cNvPr id="86" name="TextBox 85"/>
          <xdr:cNvSpPr txBox="1"/>
        </xdr:nvSpPr>
        <xdr:spPr>
          <a:xfrm>
            <a:off x="14933083" y="1576917"/>
            <a:ext cx="222250" cy="32808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t"/>
          <a:lstStyle/>
          <a:p>
            <a:r>
              <a:rPr lang="en-US" sz="1100" b="1"/>
              <a:t>h</a:t>
            </a:r>
            <a:endParaRPr lang="fa-IR" sz="11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4"/>
  <sheetViews>
    <sheetView workbookViewId="0">
      <selection activeCell="B1" sqref="B1"/>
    </sheetView>
  </sheetViews>
  <sheetFormatPr defaultRowHeight="15" x14ac:dyDescent="0.25"/>
  <cols>
    <col min="1" max="1" width="12.42578125" customWidth="1"/>
    <col min="2" max="2" width="10.42578125" customWidth="1"/>
  </cols>
  <sheetData>
    <row r="1" spans="1:9" x14ac:dyDescent="0.25">
      <c r="A1" t="s">
        <v>0</v>
      </c>
      <c r="B1" s="2">
        <v>60</v>
      </c>
      <c r="D1" t="s">
        <v>4</v>
      </c>
      <c r="E1">
        <v>20</v>
      </c>
    </row>
    <row r="2" spans="1:9" x14ac:dyDescent="0.25">
      <c r="A2" t="s">
        <v>1</v>
      </c>
      <c r="B2" s="2">
        <v>800</v>
      </c>
      <c r="D2" t="s">
        <v>5</v>
      </c>
      <c r="E2">
        <v>80</v>
      </c>
    </row>
    <row r="3" spans="1:9" x14ac:dyDescent="0.25">
      <c r="A3" t="s">
        <v>2</v>
      </c>
      <c r="B3" s="2">
        <v>60</v>
      </c>
      <c r="D3" t="s">
        <v>7</v>
      </c>
      <c r="E3">
        <f>B2*E1*E2</f>
        <v>1280000</v>
      </c>
    </row>
    <row r="4" spans="1:9" x14ac:dyDescent="0.25">
      <c r="A4" t="s">
        <v>3</v>
      </c>
      <c r="B4" s="3">
        <v>100000</v>
      </c>
    </row>
    <row r="5" spans="1:9" x14ac:dyDescent="0.25">
      <c r="A5" t="s">
        <v>6</v>
      </c>
      <c r="B5" s="2">
        <v>8</v>
      </c>
    </row>
    <row r="6" spans="1:9" x14ac:dyDescent="0.25">
      <c r="A6">
        <f>(E1*(E2^2)-(((6/8)*B1*(B2^2))/B3))</f>
        <v>-352000</v>
      </c>
    </row>
    <row r="7" spans="1:9" x14ac:dyDescent="0.25">
      <c r="A7">
        <f>(E1-E2)-((0.75*B1*B2)/B5)</f>
        <v>-4560</v>
      </c>
    </row>
    <row r="8" spans="1:9" x14ac:dyDescent="0.25">
      <c r="A8">
        <f>(E1*(E2^3)-((360*60*B1*(B2^3))/(384*B4)))</f>
        <v>-7040000</v>
      </c>
    </row>
    <row r="9" spans="1:9" x14ac:dyDescent="0.25">
      <c r="A9">
        <f>E2-12*E1</f>
        <v>-160</v>
      </c>
    </row>
    <row r="10" spans="1:9" x14ac:dyDescent="0.25">
      <c r="A10">
        <f>B2/20</f>
        <v>40</v>
      </c>
    </row>
    <row r="11" spans="1:9" x14ac:dyDescent="0.25">
      <c r="A11" t="s">
        <v>8</v>
      </c>
      <c r="B11" s="2">
        <v>2</v>
      </c>
      <c r="D11" s="1" t="s">
        <v>12</v>
      </c>
      <c r="E11" s="1"/>
      <c r="F11" s="1"/>
      <c r="G11" s="1"/>
      <c r="H11" s="1"/>
      <c r="I11" s="1"/>
    </row>
    <row r="12" spans="1:9" x14ac:dyDescent="0.25">
      <c r="A12" t="s">
        <v>9</v>
      </c>
      <c r="B12" s="2">
        <v>20</v>
      </c>
    </row>
    <row r="13" spans="1:9" x14ac:dyDescent="0.25">
      <c r="A13" t="s">
        <v>10</v>
      </c>
      <c r="B13" s="2">
        <v>20</v>
      </c>
    </row>
    <row r="14" spans="1:9" x14ac:dyDescent="0.25">
      <c r="A14" t="s">
        <v>11</v>
      </c>
      <c r="B14" s="2">
        <v>80</v>
      </c>
    </row>
  </sheetData>
  <customSheetViews>
    <customSheetView guid="{5E047470-7D77-426D-B94B-7966AE8B6508}">
      <selection activeCell="E3" sqref="E3"/>
      <pageMargins left="0.7" right="0.7" top="0.75" bottom="0.75" header="0.3" footer="0.3"/>
    </customSheetView>
  </customSheetViews>
  <mergeCells count="1">
    <mergeCell ref="D11:I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5"/>
  <sheetViews>
    <sheetView workbookViewId="0">
      <selection activeCell="F23" sqref="F23"/>
    </sheetView>
  </sheetViews>
  <sheetFormatPr defaultRowHeight="15" x14ac:dyDescent="0.25"/>
  <cols>
    <col min="3" max="3" width="14.42578125" customWidth="1"/>
    <col min="4" max="4" width="11.140625" bestFit="1" customWidth="1"/>
  </cols>
  <sheetData>
    <row r="1" spans="1:5" x14ac:dyDescent="0.25">
      <c r="A1" t="s">
        <v>0</v>
      </c>
      <c r="B1" s="5">
        <v>50000</v>
      </c>
      <c r="D1" t="s">
        <v>5</v>
      </c>
      <c r="E1">
        <v>282.84271248428934</v>
      </c>
    </row>
    <row r="2" spans="1:5" x14ac:dyDescent="0.25">
      <c r="A2" t="s">
        <v>14</v>
      </c>
      <c r="B2" s="5">
        <v>2400</v>
      </c>
      <c r="D2" t="s">
        <v>13</v>
      </c>
      <c r="E2">
        <v>30</v>
      </c>
    </row>
    <row r="3" spans="1:5" x14ac:dyDescent="0.25">
      <c r="A3" t="s">
        <v>3</v>
      </c>
      <c r="B3" s="6">
        <v>2100000</v>
      </c>
    </row>
    <row r="4" spans="1:5" x14ac:dyDescent="0.25">
      <c r="A4" t="s">
        <v>4</v>
      </c>
      <c r="B4" s="5">
        <v>400</v>
      </c>
    </row>
    <row r="5" spans="1:5" x14ac:dyDescent="0.25">
      <c r="A5" t="s">
        <v>16</v>
      </c>
      <c r="B5" s="5">
        <v>1</v>
      </c>
    </row>
    <row r="6" spans="1:5" x14ac:dyDescent="0.25">
      <c r="A6" t="s">
        <v>17</v>
      </c>
      <c r="B6" s="5">
        <v>30</v>
      </c>
    </row>
    <row r="7" spans="1:5" x14ac:dyDescent="0.25">
      <c r="A7" t="s">
        <v>10</v>
      </c>
      <c r="B7" s="5">
        <v>80</v>
      </c>
    </row>
    <row r="8" spans="1:5" x14ac:dyDescent="0.25">
      <c r="A8" t="s">
        <v>11</v>
      </c>
      <c r="B8" s="5">
        <v>1600</v>
      </c>
    </row>
    <row r="9" spans="1:5" x14ac:dyDescent="0.25">
      <c r="A9" t="s">
        <v>20</v>
      </c>
      <c r="B9" s="9">
        <f>0.6*B2</f>
        <v>1440</v>
      </c>
    </row>
    <row r="10" spans="1:5" x14ac:dyDescent="0.25">
      <c r="A10" t="s">
        <v>21</v>
      </c>
      <c r="B10" s="9">
        <f>((0.5*B1)*SQRT((0.5*B4)^2+(E1)^2))/E1</f>
        <v>30618.621784440773</v>
      </c>
    </row>
    <row r="11" spans="1:5" x14ac:dyDescent="0.25">
      <c r="A11" t="s">
        <v>22</v>
      </c>
      <c r="B11" s="9">
        <f>B10/B9</f>
        <v>21.262931794750536</v>
      </c>
    </row>
    <row r="12" spans="1:5" x14ac:dyDescent="0.25">
      <c r="A12" t="s">
        <v>18</v>
      </c>
      <c r="B12" s="7">
        <f>2*((B3*E2*E1)/((0.5*B4)^2+(E1)^2))</f>
        <v>296984.84809496533</v>
      </c>
    </row>
    <row r="14" spans="1:5" x14ac:dyDescent="0.25">
      <c r="A14" t="s">
        <v>15</v>
      </c>
      <c r="B14" s="8">
        <f>(((B1)^2)*(((0.5*B4)^2)+((E1)^2))*SQRT((0.5*B4)^2+(E1)^2))/(4*((E1)^2)*E2*B3)</f>
        <v>5154.9131177645149</v>
      </c>
      <c r="C14" s="4" t="s">
        <v>19</v>
      </c>
      <c r="D14">
        <f>B14/(0.5*B1)</f>
        <v>0.20619652471058059</v>
      </c>
    </row>
    <row r="15" spans="1:5" x14ac:dyDescent="0.25">
      <c r="C15" t="s">
        <v>23</v>
      </c>
      <c r="D15">
        <f>(B9*E2)/(2*((B3*E2*E1)/((B4)^2+(E1)^2)))</f>
        <v>0.29092393282772117</v>
      </c>
    </row>
  </sheetData>
  <dataConsolidate link="1"/>
  <customSheetViews>
    <customSheetView guid="{5E047470-7D77-426D-B94B-7966AE8B6508}">
      <selection activeCell="I4" sqref="I4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66"/>
  <sheetViews>
    <sheetView workbookViewId="0">
      <selection activeCell="C5" sqref="C5:C10"/>
    </sheetView>
  </sheetViews>
  <sheetFormatPr defaultRowHeight="15" x14ac:dyDescent="0.25"/>
  <cols>
    <col min="3" max="3" width="10.85546875" customWidth="1"/>
    <col min="6" max="6" width="13" bestFit="1" customWidth="1"/>
    <col min="14" max="14" width="9.5703125" customWidth="1"/>
    <col min="23" max="23" width="9.42578125" bestFit="1" customWidth="1"/>
  </cols>
  <sheetData>
    <row r="1" spans="2:11" ht="14.25" customHeight="1" x14ac:dyDescent="0.25">
      <c r="C1" s="234" t="s">
        <v>76</v>
      </c>
      <c r="D1" s="234"/>
      <c r="E1" s="234"/>
      <c r="F1" s="234"/>
      <c r="G1" s="234"/>
      <c r="H1" s="234"/>
      <c r="I1" s="234"/>
      <c r="J1" s="234"/>
      <c r="K1" s="234"/>
    </row>
    <row r="2" spans="2:11" ht="14.25" customHeight="1" x14ac:dyDescent="0.25">
      <c r="C2" s="234"/>
      <c r="D2" s="234"/>
      <c r="E2" s="234"/>
      <c r="F2" s="234"/>
      <c r="G2" s="234"/>
      <c r="H2" s="234"/>
      <c r="I2" s="234"/>
      <c r="J2" s="234"/>
      <c r="K2" s="234"/>
    </row>
    <row r="4" spans="2:11" ht="15.75" thickBot="1" x14ac:dyDescent="0.3"/>
    <row r="5" spans="2:11" ht="15.75" thickBot="1" x14ac:dyDescent="0.3">
      <c r="B5" s="91" t="s">
        <v>39</v>
      </c>
      <c r="C5" s="75">
        <v>74.478197898796481</v>
      </c>
      <c r="D5" s="74">
        <v>0.5</v>
      </c>
      <c r="E5" s="74">
        <v>100</v>
      </c>
    </row>
    <row r="6" spans="2:11" ht="15.75" thickBot="1" x14ac:dyDescent="0.3">
      <c r="B6" s="91" t="s">
        <v>40</v>
      </c>
      <c r="C6" s="75">
        <v>100</v>
      </c>
      <c r="D6" s="74">
        <v>0.5</v>
      </c>
      <c r="E6" s="74">
        <v>100</v>
      </c>
    </row>
    <row r="7" spans="2:11" ht="15.75" thickBot="1" x14ac:dyDescent="0.3">
      <c r="B7" s="91" t="s">
        <v>41</v>
      </c>
      <c r="C7" s="75">
        <v>100</v>
      </c>
      <c r="D7" s="74">
        <v>0.5</v>
      </c>
      <c r="E7" s="74">
        <v>100</v>
      </c>
    </row>
    <row r="8" spans="2:11" ht="15.75" thickBot="1" x14ac:dyDescent="0.3">
      <c r="B8" s="92" t="s">
        <v>73</v>
      </c>
      <c r="C8" s="75">
        <v>-20.424220865211133</v>
      </c>
      <c r="D8" s="19"/>
      <c r="E8" s="19"/>
    </row>
    <row r="9" spans="2:11" ht="15.75" thickBot="1" x14ac:dyDescent="0.3">
      <c r="B9" s="92" t="s">
        <v>74</v>
      </c>
      <c r="C9" s="75">
        <v>-10.212110441932859</v>
      </c>
      <c r="D9" s="19"/>
      <c r="E9" s="19"/>
    </row>
    <row r="10" spans="2:11" ht="15.75" thickBot="1" x14ac:dyDescent="0.3">
      <c r="B10" s="92" t="s">
        <v>75</v>
      </c>
      <c r="C10" s="75">
        <v>36.516417660995451</v>
      </c>
      <c r="D10" s="19"/>
      <c r="E10" s="19"/>
    </row>
    <row r="13" spans="2:11" ht="15.75" thickBot="1" x14ac:dyDescent="0.3"/>
    <row r="14" spans="2:11" ht="15.75" thickBot="1" x14ac:dyDescent="0.3">
      <c r="B14" s="93" t="s">
        <v>1</v>
      </c>
      <c r="C14" s="74">
        <v>4</v>
      </c>
    </row>
    <row r="15" spans="2:11" ht="15.75" thickBot="1" x14ac:dyDescent="0.3">
      <c r="B15" s="93" t="s">
        <v>5</v>
      </c>
      <c r="C15" s="74">
        <v>3</v>
      </c>
    </row>
    <row r="18" spans="1:30" ht="15.75" thickBot="1" x14ac:dyDescent="0.3"/>
    <row r="19" spans="1:30" x14ac:dyDescent="0.25">
      <c r="B19" s="252" t="s">
        <v>42</v>
      </c>
      <c r="C19" s="241" t="s">
        <v>43</v>
      </c>
      <c r="D19" s="254" t="s">
        <v>44</v>
      </c>
      <c r="E19" s="255"/>
      <c r="F19" s="254" t="s">
        <v>45</v>
      </c>
      <c r="G19" s="255"/>
      <c r="H19" s="241" t="s">
        <v>38</v>
      </c>
      <c r="I19" s="250" t="s">
        <v>46</v>
      </c>
      <c r="J19" s="241" t="s">
        <v>47</v>
      </c>
      <c r="K19" s="243" t="s">
        <v>48</v>
      </c>
      <c r="L19" s="245" t="s">
        <v>49</v>
      </c>
      <c r="M19" s="86" t="s">
        <v>50</v>
      </c>
      <c r="N19" s="87">
        <v>1.667</v>
      </c>
      <c r="O19" s="247" t="s">
        <v>51</v>
      </c>
      <c r="Q19" s="78" t="s">
        <v>64</v>
      </c>
      <c r="R19" s="79" t="s">
        <v>65</v>
      </c>
      <c r="S19" s="79" t="s">
        <v>66</v>
      </c>
      <c r="T19" s="80" t="s">
        <v>67</v>
      </c>
      <c r="U19" s="81" t="s">
        <v>68</v>
      </c>
      <c r="V19" s="82" t="s">
        <v>69</v>
      </c>
      <c r="W19" s="83" t="s">
        <v>70</v>
      </c>
    </row>
    <row r="20" spans="1:30" x14ac:dyDescent="0.25">
      <c r="B20" s="253"/>
      <c r="C20" s="242"/>
      <c r="D20" s="88" t="s">
        <v>52</v>
      </c>
      <c r="E20" s="88" t="s">
        <v>53</v>
      </c>
      <c r="F20" s="88" t="s">
        <v>52</v>
      </c>
      <c r="G20" s="88" t="s">
        <v>53</v>
      </c>
      <c r="H20" s="242"/>
      <c r="I20" s="251"/>
      <c r="J20" s="242"/>
      <c r="K20" s="244"/>
      <c r="L20" s="246"/>
      <c r="M20" s="89" t="str">
        <f>O18&amp;J19</f>
        <v>Fy</v>
      </c>
      <c r="N20" s="90"/>
      <c r="O20" s="248"/>
      <c r="Q20" s="58">
        <v>1</v>
      </c>
      <c r="R20" s="20">
        <v>0</v>
      </c>
      <c r="S20" s="20">
        <v>0</v>
      </c>
      <c r="T20" s="59">
        <v>0</v>
      </c>
      <c r="U20" s="60">
        <v>0</v>
      </c>
      <c r="V20" s="61">
        <v>0</v>
      </c>
      <c r="W20" s="24">
        <v>0</v>
      </c>
    </row>
    <row r="21" spans="1:30" x14ac:dyDescent="0.25">
      <c r="B21" s="84">
        <v>1</v>
      </c>
      <c r="C21" s="46">
        <f>C14</f>
        <v>4</v>
      </c>
      <c r="D21" s="20">
        <v>0</v>
      </c>
      <c r="E21" s="20">
        <v>0</v>
      </c>
      <c r="F21" s="20">
        <f>C21</f>
        <v>4</v>
      </c>
      <c r="G21" s="20">
        <v>0</v>
      </c>
      <c r="H21" s="96">
        <f>C5</f>
        <v>74.478197898796481</v>
      </c>
      <c r="I21" s="22">
        <v>2100000</v>
      </c>
      <c r="J21" s="21">
        <v>2400</v>
      </c>
      <c r="K21" s="20">
        <f>(H28*M27+I28*M28+J28*M29+K28*M30)/C5</f>
        <v>-107227.15954235845</v>
      </c>
      <c r="L21" s="23">
        <f>ABS(K21)/C5</f>
        <v>1439.7120575884821</v>
      </c>
      <c r="M21" s="20">
        <f>J21*(1/N19)</f>
        <v>1439.7120575884821</v>
      </c>
      <c r="N21" s="23" t="str">
        <f>IF(L21&gt;M21,"over stress","")</f>
        <v/>
      </c>
      <c r="O21" s="24">
        <f>ROUND(L21/M21,2)</f>
        <v>1</v>
      </c>
      <c r="Q21" s="58">
        <v>2</v>
      </c>
      <c r="R21" s="20">
        <f>C21</f>
        <v>4</v>
      </c>
      <c r="S21" s="20">
        <v>0</v>
      </c>
      <c r="T21" s="59">
        <v>0</v>
      </c>
      <c r="U21" s="60">
        <v>0</v>
      </c>
      <c r="V21" s="62">
        <f>C8</f>
        <v>-20.424220865211133</v>
      </c>
      <c r="W21" s="77">
        <v>0</v>
      </c>
    </row>
    <row r="22" spans="1:30" ht="15.75" thickBot="1" x14ac:dyDescent="0.3">
      <c r="B22" s="84">
        <v>2</v>
      </c>
      <c r="C22" s="25">
        <f>SQRT((0.5*C14)^2+(C15)^2)</f>
        <v>3.6055512754639891</v>
      </c>
      <c r="D22" s="20">
        <f>C21</f>
        <v>4</v>
      </c>
      <c r="E22" s="20">
        <v>0</v>
      </c>
      <c r="F22" s="20">
        <f>C21*0.5</f>
        <v>2</v>
      </c>
      <c r="G22" s="20">
        <f>C15</f>
        <v>3</v>
      </c>
      <c r="H22" s="96">
        <f>C6</f>
        <v>100</v>
      </c>
      <c r="I22" s="22">
        <v>2100000</v>
      </c>
      <c r="J22" s="21">
        <v>2400</v>
      </c>
      <c r="K22" s="20">
        <f>(H34*M33+I34*M34+J34*M35+K34*M36)/C6</f>
        <v>143971.20575884814</v>
      </c>
      <c r="L22" s="23">
        <f>ABS(K22)/C6</f>
        <v>1439.7120575884815</v>
      </c>
      <c r="M22" s="20">
        <f>J22*(1/N19)</f>
        <v>1439.7120575884821</v>
      </c>
      <c r="N22" s="23" t="str">
        <f>IF(L22&gt;M22,"over stress","")</f>
        <v/>
      </c>
      <c r="O22" s="24">
        <f>ROUND(L22/M22,2)</f>
        <v>1</v>
      </c>
      <c r="Q22" s="63">
        <v>3</v>
      </c>
      <c r="R22" s="64">
        <f>R21/0.5</f>
        <v>8</v>
      </c>
      <c r="S22" s="64">
        <f>C15</f>
        <v>3</v>
      </c>
      <c r="T22" s="65">
        <v>0</v>
      </c>
      <c r="U22" s="66">
        <v>-100</v>
      </c>
      <c r="V22" s="67">
        <f>C9</f>
        <v>-10.212110441932859</v>
      </c>
      <c r="W22" s="68">
        <f>C10</f>
        <v>36.516417660995451</v>
      </c>
    </row>
    <row r="23" spans="1:30" ht="15.75" thickBot="1" x14ac:dyDescent="0.3">
      <c r="B23" s="85">
        <v>3</v>
      </c>
      <c r="C23" s="69">
        <f>C22</f>
        <v>3.6055512754639891</v>
      </c>
      <c r="D23" s="64">
        <f>F22</f>
        <v>2</v>
      </c>
      <c r="E23" s="64">
        <f>C15</f>
        <v>3</v>
      </c>
      <c r="F23" s="64">
        <v>0</v>
      </c>
      <c r="G23" s="64">
        <v>0</v>
      </c>
      <c r="H23" s="97">
        <f>C7</f>
        <v>100</v>
      </c>
      <c r="I23" s="71">
        <v>2100000</v>
      </c>
      <c r="J23" s="70">
        <v>2400</v>
      </c>
      <c r="K23" s="64">
        <f>(H40*M39+I40*M40+J40*M41+K40*M42)/C7</f>
        <v>143971.20569857949</v>
      </c>
      <c r="L23" s="72">
        <f>ABS(K23)/C7</f>
        <v>1439.712056985795</v>
      </c>
      <c r="M23" s="64">
        <f>J23*(1/N19)</f>
        <v>1439.7120575884821</v>
      </c>
      <c r="N23" s="76" t="str">
        <f>IF(L23&gt;M23,"over stress","")</f>
        <v/>
      </c>
      <c r="O23" s="73">
        <f>ROUND(L23/M23,2)</f>
        <v>1</v>
      </c>
    </row>
    <row r="24" spans="1:30" x14ac:dyDescent="0.25">
      <c r="B24" s="52"/>
      <c r="C24" s="53"/>
      <c r="D24" s="50"/>
      <c r="E24" s="50"/>
      <c r="F24" s="50"/>
      <c r="G24" s="50"/>
      <c r="H24" s="54"/>
      <c r="I24" s="54"/>
      <c r="J24" s="54"/>
      <c r="K24" s="50"/>
      <c r="L24" s="50"/>
      <c r="M24" s="50"/>
      <c r="N24" s="50"/>
      <c r="O24" s="50"/>
    </row>
    <row r="25" spans="1:30" ht="15.75" thickBot="1" x14ac:dyDescent="0.3">
      <c r="A25">
        <v>1</v>
      </c>
      <c r="B25" s="31">
        <v>2</v>
      </c>
      <c r="C25">
        <v>3</v>
      </c>
      <c r="D25">
        <v>4</v>
      </c>
      <c r="F25" s="19"/>
    </row>
    <row r="26" spans="1:30" x14ac:dyDescent="0.25">
      <c r="A26" s="26" t="s">
        <v>54</v>
      </c>
      <c r="B26" s="27">
        <f>(F21-D21)/C21</f>
        <v>1</v>
      </c>
      <c r="C26" s="28" t="s">
        <v>55</v>
      </c>
      <c r="D26" s="27">
        <f>(G21-E21)/C21</f>
        <v>0</v>
      </c>
      <c r="E26" s="29">
        <f>(C5*I21)/(C21*100)</f>
        <v>391010.53896868153</v>
      </c>
      <c r="F26" s="30"/>
      <c r="G26" s="30"/>
      <c r="H26" s="30"/>
      <c r="I26" s="30"/>
      <c r="J26" s="30"/>
      <c r="K26" s="30"/>
      <c r="L26" s="30"/>
      <c r="M26" s="30"/>
      <c r="N26" s="31"/>
      <c r="O26" s="30"/>
    </row>
    <row r="27" spans="1:30" x14ac:dyDescent="0.25">
      <c r="A27" s="32">
        <f>E26*(B26^2)</f>
        <v>391010.53896868153</v>
      </c>
      <c r="B27" s="33">
        <f>E26*D26*B26</f>
        <v>0</v>
      </c>
      <c r="C27" s="33">
        <f>-A27</f>
        <v>-391010.53896868153</v>
      </c>
      <c r="D27" s="33">
        <f>-B26*D26*E26</f>
        <v>0</v>
      </c>
      <c r="E27" s="34"/>
      <c r="F27" s="35">
        <v>1</v>
      </c>
      <c r="G27" s="30"/>
      <c r="H27" s="36">
        <v>1</v>
      </c>
      <c r="I27" s="36">
        <v>2</v>
      </c>
      <c r="J27" s="36">
        <v>3</v>
      </c>
      <c r="K27" s="36">
        <v>4</v>
      </c>
      <c r="L27" s="34"/>
      <c r="M27" s="37">
        <v>0</v>
      </c>
      <c r="N27" s="38"/>
      <c r="O27" s="30"/>
      <c r="AA27">
        <v>101</v>
      </c>
      <c r="AB27">
        <v>102</v>
      </c>
      <c r="AC27">
        <v>103</v>
      </c>
      <c r="AD27">
        <v>104</v>
      </c>
    </row>
    <row r="28" spans="1:30" ht="15.75" x14ac:dyDescent="0.25">
      <c r="A28" s="32">
        <f>E26*B26*D26</f>
        <v>0</v>
      </c>
      <c r="B28" s="33">
        <f>E26*(D26^2)</f>
        <v>0</v>
      </c>
      <c r="C28" s="33">
        <f>-B26*D26*E26</f>
        <v>0</v>
      </c>
      <c r="D28" s="33">
        <f>-(D26^2)*E26</f>
        <v>0</v>
      </c>
      <c r="E28" s="34">
        <v>1</v>
      </c>
      <c r="F28" s="35">
        <v>2</v>
      </c>
      <c r="G28" s="39" t="s">
        <v>56</v>
      </c>
      <c r="H28" s="36">
        <f>-((C5*I21)/(C21*100))*(B26^2)</f>
        <v>-391010.53896868153</v>
      </c>
      <c r="I28" s="36">
        <v>0</v>
      </c>
      <c r="J28" s="36">
        <f>B26*((C5*I21)/(C21*100))*(B26^2)</f>
        <v>391010.53896868153</v>
      </c>
      <c r="K28" s="40">
        <f>D26*E26</f>
        <v>0</v>
      </c>
      <c r="L28" s="34"/>
      <c r="M28" s="37">
        <v>0</v>
      </c>
      <c r="N28" s="41" t="s">
        <v>57</v>
      </c>
      <c r="O28" s="42">
        <f>INDEX(MMULT(H28:K28,M27:M30),1,1)</f>
        <v>-7986085.6085215965</v>
      </c>
      <c r="R28" s="19"/>
      <c r="S28" s="19"/>
      <c r="AA28">
        <v>201</v>
      </c>
      <c r="AB28">
        <v>202</v>
      </c>
      <c r="AC28">
        <v>203</v>
      </c>
      <c r="AD28">
        <v>204</v>
      </c>
    </row>
    <row r="29" spans="1:30" x14ac:dyDescent="0.25">
      <c r="A29" s="32">
        <f>-(B26^2)*E26</f>
        <v>-391010.53896868153</v>
      </c>
      <c r="B29" s="33">
        <f>-B26*D26*E26</f>
        <v>0</v>
      </c>
      <c r="C29" s="33">
        <f>E26*(B26^2)</f>
        <v>391010.53896868153</v>
      </c>
      <c r="D29" s="33">
        <f>B26*D26*E26</f>
        <v>0</v>
      </c>
      <c r="E29" s="34"/>
      <c r="F29" s="35">
        <v>3</v>
      </c>
      <c r="G29" s="30"/>
      <c r="H29" s="30"/>
      <c r="I29" s="30"/>
      <c r="J29" s="30"/>
      <c r="K29" s="30"/>
      <c r="L29" s="34"/>
      <c r="M29" s="37">
        <f>C8</f>
        <v>-20.424220865211133</v>
      </c>
      <c r="N29" s="38"/>
      <c r="O29" s="33"/>
      <c r="R29" s="19"/>
      <c r="S29" s="19"/>
      <c r="AA29">
        <v>301</v>
      </c>
      <c r="AB29">
        <v>302</v>
      </c>
      <c r="AC29">
        <v>303</v>
      </c>
      <c r="AD29">
        <v>304</v>
      </c>
    </row>
    <row r="30" spans="1:30" ht="15.75" thickBot="1" x14ac:dyDescent="0.3">
      <c r="A30" s="43">
        <f>-B26*D26*E26</f>
        <v>0</v>
      </c>
      <c r="B30" s="44">
        <f>-(D26^2)*E26</f>
        <v>0</v>
      </c>
      <c r="C30" s="44">
        <f>B26*D26*E26</f>
        <v>0</v>
      </c>
      <c r="D30" s="44">
        <f>E26*(D26^2)</f>
        <v>0</v>
      </c>
      <c r="E30" s="45"/>
      <c r="F30" s="35">
        <v>4</v>
      </c>
      <c r="G30" s="30"/>
      <c r="H30" s="30"/>
      <c r="I30" s="30"/>
      <c r="J30" s="30"/>
      <c r="K30" s="30"/>
      <c r="L30" s="34"/>
      <c r="M30" s="37">
        <v>0</v>
      </c>
      <c r="N30" s="38"/>
      <c r="O30" s="33"/>
      <c r="R30" s="19"/>
      <c r="S30" s="19"/>
      <c r="AA30">
        <v>401</v>
      </c>
      <c r="AB30">
        <v>402</v>
      </c>
      <c r="AC30">
        <v>403</v>
      </c>
      <c r="AD30">
        <v>404</v>
      </c>
    </row>
    <row r="31" spans="1:30" ht="15.75" thickBot="1" x14ac:dyDescent="0.3">
      <c r="A31">
        <v>3</v>
      </c>
      <c r="B31">
        <v>4</v>
      </c>
      <c r="C31">
        <v>5</v>
      </c>
      <c r="D31">
        <v>6</v>
      </c>
    </row>
    <row r="32" spans="1:30" x14ac:dyDescent="0.25">
      <c r="A32" s="26" t="s">
        <v>54</v>
      </c>
      <c r="B32" s="27">
        <f>(F22-D22)/C22</f>
        <v>-0.55470019622522915</v>
      </c>
      <c r="C32" s="28" t="s">
        <v>55</v>
      </c>
      <c r="D32" s="27">
        <f>(G22-E22)/C22</f>
        <v>0.83205029433784372</v>
      </c>
      <c r="E32" s="29">
        <f>(I22*C6)/(C22*100)</f>
        <v>582435.20603649062</v>
      </c>
      <c r="F32" s="30"/>
      <c r="G32" s="30"/>
      <c r="H32" s="30"/>
      <c r="I32" s="30"/>
      <c r="J32" s="30"/>
      <c r="K32" s="30"/>
      <c r="L32" s="30"/>
      <c r="M32" s="30"/>
      <c r="N32" s="31"/>
      <c r="O32" s="30"/>
    </row>
    <row r="33" spans="1:30" x14ac:dyDescent="0.25">
      <c r="A33" s="32">
        <f>E32*(B32^2)</f>
        <v>179210.83262661251</v>
      </c>
      <c r="B33" s="33">
        <f>E32*D32*B32</f>
        <v>-268816.24893991876</v>
      </c>
      <c r="C33" s="33">
        <f>-A33</f>
        <v>-179210.83262661251</v>
      </c>
      <c r="D33" s="33">
        <f>-B32*D32*E32</f>
        <v>268816.24893991876</v>
      </c>
      <c r="E33" s="34"/>
      <c r="F33" s="35">
        <v>3</v>
      </c>
      <c r="G33" s="30"/>
      <c r="H33" s="36">
        <v>3</v>
      </c>
      <c r="I33" s="36">
        <v>4</v>
      </c>
      <c r="J33" s="36">
        <v>5</v>
      </c>
      <c r="K33" s="36">
        <v>6</v>
      </c>
      <c r="L33" s="34"/>
      <c r="M33" s="37">
        <f>C8</f>
        <v>-20.424220865211133</v>
      </c>
      <c r="N33" s="38"/>
      <c r="O33" s="30"/>
      <c r="AA33">
        <v>303</v>
      </c>
      <c r="AB33">
        <v>304</v>
      </c>
      <c r="AC33">
        <v>305</v>
      </c>
      <c r="AD33">
        <v>306</v>
      </c>
    </row>
    <row r="34" spans="1:30" ht="15.75" x14ac:dyDescent="0.25">
      <c r="A34" s="32">
        <f>E32*B32*D32</f>
        <v>-268816.24893991876</v>
      </c>
      <c r="B34" s="33">
        <f>E32*(D32^2)</f>
        <v>403224.37340987817</v>
      </c>
      <c r="C34" s="33">
        <f>-B32*D32*E32</f>
        <v>268816.24893991876</v>
      </c>
      <c r="D34" s="33">
        <f>-(D32^2)*E32</f>
        <v>-403224.37340987817</v>
      </c>
      <c r="E34" s="34"/>
      <c r="F34" s="35">
        <v>4</v>
      </c>
      <c r="G34" s="39" t="s">
        <v>56</v>
      </c>
      <c r="H34" s="36">
        <f>-B32*((I22*C6)/(C22*100))</f>
        <v>323076.92307692312</v>
      </c>
      <c r="I34" s="36">
        <f>-D32*((I22*C6)/(C22*100))</f>
        <v>-484615.38461538468</v>
      </c>
      <c r="J34" s="36">
        <f>B32*((I22*C6)/(C22*100))</f>
        <v>-323076.92307692312</v>
      </c>
      <c r="K34" s="40">
        <f>D32*((I22*C6)/(C22*100))</f>
        <v>484615.38461538468</v>
      </c>
      <c r="L34" s="34"/>
      <c r="M34" s="37">
        <v>0</v>
      </c>
      <c r="N34" s="41" t="s">
        <v>57</v>
      </c>
      <c r="O34" s="42">
        <f>INDEX(MMULT(H34:K34,M33:M36),1,1)</f>
        <v>14397120.575884815</v>
      </c>
      <c r="AA34">
        <v>403</v>
      </c>
      <c r="AB34">
        <v>404</v>
      </c>
      <c r="AC34">
        <v>405</v>
      </c>
      <c r="AD34">
        <v>406</v>
      </c>
    </row>
    <row r="35" spans="1:30" x14ac:dyDescent="0.25">
      <c r="A35" s="32">
        <f>-(B32^2)*E32</f>
        <v>-179210.83262661251</v>
      </c>
      <c r="B35" s="33">
        <f>-B32*D32*E32</f>
        <v>268816.24893991876</v>
      </c>
      <c r="C35" s="33">
        <f>E32*(B32^2)</f>
        <v>179210.83262661251</v>
      </c>
      <c r="D35" s="33">
        <f>B32*D32*E32</f>
        <v>-268816.24893991876</v>
      </c>
      <c r="E35" s="34"/>
      <c r="F35" s="35">
        <v>5</v>
      </c>
      <c r="G35" s="30"/>
      <c r="H35" s="30"/>
      <c r="I35" s="30"/>
      <c r="J35" s="30"/>
      <c r="K35" s="30"/>
      <c r="L35" s="34"/>
      <c r="M35" s="37">
        <f>C9</f>
        <v>-10.212110441932859</v>
      </c>
      <c r="N35" s="38"/>
      <c r="O35" s="33"/>
      <c r="AA35">
        <v>503</v>
      </c>
      <c r="AB35">
        <v>504</v>
      </c>
      <c r="AC35">
        <v>505</v>
      </c>
      <c r="AD35">
        <v>506</v>
      </c>
    </row>
    <row r="36" spans="1:30" ht="15.75" thickBot="1" x14ac:dyDescent="0.3">
      <c r="A36" s="43">
        <f>-B32*D32*E32</f>
        <v>268816.24893991876</v>
      </c>
      <c r="B36" s="44">
        <f>-(D32^2)*E32</f>
        <v>-403224.37340987817</v>
      </c>
      <c r="C36" s="44">
        <f>B32*D32*E32</f>
        <v>-268816.24893991876</v>
      </c>
      <c r="D36" s="44">
        <f>E32*(D32^2)</f>
        <v>403224.37340987817</v>
      </c>
      <c r="E36" s="45"/>
      <c r="F36" s="35">
        <v>6</v>
      </c>
      <c r="G36" s="30"/>
      <c r="H36" s="30"/>
      <c r="I36" s="30"/>
      <c r="J36" s="30"/>
      <c r="K36" s="30"/>
      <c r="L36" s="34"/>
      <c r="M36" s="37">
        <f>C10</f>
        <v>36.516417660995451</v>
      </c>
      <c r="N36" s="38"/>
      <c r="O36" s="33"/>
      <c r="AA36">
        <v>603</v>
      </c>
      <c r="AB36">
        <v>604</v>
      </c>
      <c r="AC36">
        <v>605</v>
      </c>
      <c r="AD36">
        <v>606</v>
      </c>
    </row>
    <row r="37" spans="1:30" ht="15.75" thickBot="1" x14ac:dyDescent="0.3">
      <c r="A37">
        <v>5</v>
      </c>
      <c r="B37">
        <v>6</v>
      </c>
      <c r="C37">
        <v>1</v>
      </c>
      <c r="D37">
        <v>2</v>
      </c>
    </row>
    <row r="38" spans="1:30" x14ac:dyDescent="0.25">
      <c r="A38" s="26" t="s">
        <v>54</v>
      </c>
      <c r="B38" s="27">
        <f>(F23-D23)/C23</f>
        <v>-0.55470019622522915</v>
      </c>
      <c r="C38" s="28" t="s">
        <v>55</v>
      </c>
      <c r="D38" s="27">
        <f>(G23-E23)/C23</f>
        <v>-0.83205029433784372</v>
      </c>
      <c r="E38" s="29">
        <f>(C7*I23)/(C23*100)</f>
        <v>582435.20603649062</v>
      </c>
      <c r="F38" s="30"/>
      <c r="G38" s="30"/>
      <c r="H38" s="30"/>
      <c r="I38" s="30"/>
      <c r="J38" s="30"/>
      <c r="K38" s="30"/>
      <c r="L38" s="30"/>
      <c r="M38" s="30"/>
      <c r="N38" s="31"/>
      <c r="O38" s="30"/>
    </row>
    <row r="39" spans="1:30" x14ac:dyDescent="0.25">
      <c r="A39" s="32">
        <f>E38*(B38^2)</f>
        <v>179210.83262661251</v>
      </c>
      <c r="B39" s="33">
        <f>E38*D38*B38</f>
        <v>268816.24893991876</v>
      </c>
      <c r="C39" s="33">
        <f>-A39</f>
        <v>-179210.83262661251</v>
      </c>
      <c r="D39" s="33">
        <f>-B38*D38*E38</f>
        <v>-268816.24893991876</v>
      </c>
      <c r="E39" s="34"/>
      <c r="F39" s="35">
        <v>5</v>
      </c>
      <c r="G39" s="30"/>
      <c r="H39" s="36">
        <v>5</v>
      </c>
      <c r="I39" s="36">
        <v>6</v>
      </c>
      <c r="J39" s="36">
        <v>1</v>
      </c>
      <c r="K39" s="36">
        <v>2</v>
      </c>
      <c r="L39" s="34"/>
      <c r="M39" s="37">
        <f>C9</f>
        <v>-10.212110441932859</v>
      </c>
      <c r="N39" s="38"/>
      <c r="O39" s="30"/>
      <c r="AA39">
        <v>505</v>
      </c>
      <c r="AB39">
        <v>506</v>
      </c>
      <c r="AC39">
        <v>501</v>
      </c>
      <c r="AD39">
        <v>502</v>
      </c>
    </row>
    <row r="40" spans="1:30" ht="15.75" x14ac:dyDescent="0.25">
      <c r="A40" s="32">
        <f>E38*B38*D38</f>
        <v>268816.24893991876</v>
      </c>
      <c r="B40" s="33">
        <f>E38*(D38^2)</f>
        <v>403224.37340987817</v>
      </c>
      <c r="C40" s="33">
        <f>-B38*D38*E38</f>
        <v>-268816.24893991876</v>
      </c>
      <c r="D40" s="33">
        <f>-(D38^2)*E38</f>
        <v>-403224.37340987817</v>
      </c>
      <c r="E40" s="34"/>
      <c r="F40" s="35">
        <v>6</v>
      </c>
      <c r="G40" s="39" t="s">
        <v>56</v>
      </c>
      <c r="H40" s="36">
        <f>-B38*(C7*I23)/(C23*100)</f>
        <v>323076.92307692306</v>
      </c>
      <c r="I40" s="36">
        <f>-D38*(C7*I23)/(C23*100)</f>
        <v>484615.38461538462</v>
      </c>
      <c r="J40" s="36">
        <f>B38*(C7*I23)/(C23*100)</f>
        <v>-323076.92307692306</v>
      </c>
      <c r="K40" s="40">
        <f>D38*(C7*I23)/(C23*100)</f>
        <v>-484615.38461538462</v>
      </c>
      <c r="L40" s="34"/>
      <c r="M40" s="37">
        <f>C10</f>
        <v>36.516417660995451</v>
      </c>
      <c r="N40" s="41" t="s">
        <v>57</v>
      </c>
      <c r="O40" s="42">
        <f>INDEX(MMULT(H40:K40,M39:M42),1,1)</f>
        <v>14397120.569857949</v>
      </c>
      <c r="AA40">
        <v>605</v>
      </c>
      <c r="AB40">
        <v>606</v>
      </c>
      <c r="AC40">
        <v>601</v>
      </c>
      <c r="AD40">
        <v>602</v>
      </c>
    </row>
    <row r="41" spans="1:30" x14ac:dyDescent="0.25">
      <c r="A41" s="32">
        <f>-(B38^2)*E38</f>
        <v>-179210.83262661251</v>
      </c>
      <c r="B41" s="33">
        <f>-B38*D38*E38</f>
        <v>-268816.24893991876</v>
      </c>
      <c r="C41" s="33">
        <f>E38*(B38^2)</f>
        <v>179210.83262661251</v>
      </c>
      <c r="D41" s="33">
        <f>B38*D38*E38</f>
        <v>268816.24893991876</v>
      </c>
      <c r="E41" s="34"/>
      <c r="F41" s="35">
        <v>1</v>
      </c>
      <c r="G41" s="30"/>
      <c r="H41" s="30"/>
      <c r="I41" s="30"/>
      <c r="J41" s="30"/>
      <c r="K41" s="30"/>
      <c r="L41" s="34"/>
      <c r="M41" s="37">
        <v>0</v>
      </c>
      <c r="N41" s="38"/>
      <c r="O41" s="33"/>
      <c r="AA41">
        <v>105</v>
      </c>
      <c r="AB41">
        <v>106</v>
      </c>
      <c r="AC41">
        <v>101</v>
      </c>
      <c r="AD41">
        <v>102</v>
      </c>
    </row>
    <row r="42" spans="1:30" ht="15.75" thickBot="1" x14ac:dyDescent="0.3">
      <c r="A42" s="43">
        <f>-B38*D38*E38</f>
        <v>-268816.24893991876</v>
      </c>
      <c r="B42" s="44">
        <f>-(D38^2)*E38</f>
        <v>-403224.37340987817</v>
      </c>
      <c r="C42" s="44">
        <f>B38*D38*E38</f>
        <v>268816.24893991876</v>
      </c>
      <c r="D42" s="44">
        <f>E38*(D38^2)</f>
        <v>403224.37340987817</v>
      </c>
      <c r="E42" s="45"/>
      <c r="F42" s="35">
        <v>2</v>
      </c>
      <c r="G42" s="30"/>
      <c r="H42" s="30"/>
      <c r="I42" s="30"/>
      <c r="J42" s="30"/>
      <c r="K42" s="30"/>
      <c r="L42" s="34"/>
      <c r="M42" s="37">
        <v>0</v>
      </c>
      <c r="N42" s="38"/>
      <c r="O42" s="33"/>
      <c r="AA42">
        <v>205</v>
      </c>
      <c r="AB42">
        <v>206</v>
      </c>
      <c r="AC42">
        <v>201</v>
      </c>
      <c r="AD42">
        <v>202</v>
      </c>
    </row>
    <row r="45" spans="1:30" x14ac:dyDescent="0.25">
      <c r="D45" s="19"/>
      <c r="E45" s="19"/>
      <c r="F45" s="19"/>
      <c r="G45" s="19"/>
      <c r="H45" s="19"/>
      <c r="I45" s="19"/>
      <c r="J45" s="19"/>
      <c r="K45" s="19"/>
    </row>
    <row r="46" spans="1:30" x14ac:dyDescent="0.25">
      <c r="D46" s="19"/>
      <c r="E46" s="50">
        <v>1</v>
      </c>
      <c r="F46" s="50">
        <v>2</v>
      </c>
      <c r="G46" s="50">
        <v>4</v>
      </c>
      <c r="H46" s="50">
        <v>3</v>
      </c>
      <c r="I46" s="50">
        <v>5</v>
      </c>
      <c r="J46" s="50">
        <v>6</v>
      </c>
      <c r="K46" s="50"/>
      <c r="L46" s="19"/>
    </row>
    <row r="47" spans="1:30" x14ac:dyDescent="0.25">
      <c r="D47" s="48">
        <v>1</v>
      </c>
      <c r="E47" s="36">
        <f t="shared" ref="E47:J47" si="0">SUMIF($AA$27:$AD$42,$D$47*100+E46,$A$27:$E$42)</f>
        <v>570221.37159529398</v>
      </c>
      <c r="F47" s="36">
        <f t="shared" si="0"/>
        <v>268816.24893991876</v>
      </c>
      <c r="G47" s="40">
        <f t="shared" si="0"/>
        <v>0</v>
      </c>
      <c r="H47" s="36">
        <f t="shared" si="0"/>
        <v>-391010.53896868153</v>
      </c>
      <c r="I47" s="36">
        <f t="shared" si="0"/>
        <v>-179210.83262661251</v>
      </c>
      <c r="J47" s="40">
        <f t="shared" si="0"/>
        <v>-268816.24893991876</v>
      </c>
      <c r="K47" s="56"/>
      <c r="L47" s="33">
        <v>0</v>
      </c>
      <c r="M47" s="57"/>
      <c r="N47" s="55" t="s">
        <v>58</v>
      </c>
    </row>
    <row r="48" spans="1:30" x14ac:dyDescent="0.25">
      <c r="D48" s="48">
        <v>2</v>
      </c>
      <c r="E48" s="36">
        <f t="shared" ref="E48:J48" si="1">SUMIF($AA$27:$AD$42,$D$48*100+E46,$A$27:$E$42)</f>
        <v>268816.24893991876</v>
      </c>
      <c r="F48" s="36">
        <f t="shared" si="1"/>
        <v>403224.37340987817</v>
      </c>
      <c r="G48" s="40">
        <f t="shared" si="1"/>
        <v>0</v>
      </c>
      <c r="H48" s="36">
        <f t="shared" si="1"/>
        <v>0</v>
      </c>
      <c r="I48" s="36">
        <f t="shared" si="1"/>
        <v>-268816.24893991876</v>
      </c>
      <c r="J48" s="40">
        <f t="shared" si="1"/>
        <v>-403224.37340987817</v>
      </c>
      <c r="K48" s="56"/>
      <c r="L48" s="33">
        <v>0</v>
      </c>
      <c r="M48" s="57"/>
      <c r="N48" s="55" t="s">
        <v>59</v>
      </c>
    </row>
    <row r="49" spans="3:14" ht="15.75" thickBot="1" x14ac:dyDescent="0.3">
      <c r="D49" s="48">
        <v>4</v>
      </c>
      <c r="E49" s="47">
        <f t="shared" ref="E49:J49" si="2">SUMIF($AA$27:$AD$42,$D$49*100+E46,$A$27:$E$42)</f>
        <v>0</v>
      </c>
      <c r="F49" s="47">
        <f t="shared" si="2"/>
        <v>0</v>
      </c>
      <c r="G49" s="49">
        <f t="shared" si="2"/>
        <v>403224.37340987817</v>
      </c>
      <c r="H49" s="47">
        <f t="shared" si="2"/>
        <v>-268816.24893991876</v>
      </c>
      <c r="I49" s="47">
        <f t="shared" si="2"/>
        <v>268816.24893991876</v>
      </c>
      <c r="J49" s="49">
        <f t="shared" si="2"/>
        <v>-403224.37340987817</v>
      </c>
      <c r="K49" s="56"/>
      <c r="L49" s="33">
        <v>0</v>
      </c>
      <c r="M49" s="57"/>
      <c r="N49" s="55" t="s">
        <v>60</v>
      </c>
    </row>
    <row r="50" spans="3:14" x14ac:dyDescent="0.25">
      <c r="D50" s="48">
        <v>3</v>
      </c>
      <c r="E50" s="36">
        <f>SUMIF($AA$27:$AD$42,$D$50*100+E46,$A$27:$E$42)</f>
        <v>-391010.53896868153</v>
      </c>
      <c r="F50" s="36">
        <f>SUMIF($AA$27:$AD$42,$D$50*100+F46,$A$27:$E$42)</f>
        <v>0</v>
      </c>
      <c r="G50" s="40">
        <f>SUMIF($AA$27:$AD$42,$D$50*100+G46,$A$27:$E$42)</f>
        <v>-268816.24893991876</v>
      </c>
      <c r="H50" s="36">
        <f>C29+A33</f>
        <v>570221.37159529398</v>
      </c>
      <c r="I50" s="36">
        <f>C33</f>
        <v>-179210.83262661251</v>
      </c>
      <c r="J50" s="40">
        <f>D33</f>
        <v>268816.24893991876</v>
      </c>
      <c r="K50" s="56"/>
      <c r="L50" s="36" t="s">
        <v>61</v>
      </c>
      <c r="M50" s="57"/>
      <c r="N50" s="55">
        <f>T21*1000</f>
        <v>0</v>
      </c>
    </row>
    <row r="51" spans="3:14" x14ac:dyDescent="0.25">
      <c r="D51" s="48">
        <v>5</v>
      </c>
      <c r="E51" s="36">
        <f>SUMIF($AA$27:$AD$42,$D$51*100+E46,$A$27:$E$42)</f>
        <v>-179210.83262661251</v>
      </c>
      <c r="F51" s="36">
        <f>SUMIF($AA$27:$AD$42,$D$51*100+F46,$A$27:$E$42)</f>
        <v>-268816.24893991876</v>
      </c>
      <c r="G51" s="40">
        <f>SUMIF($AA$27:$AD$42,$D$51*100+G46,$A$27:$E$42)</f>
        <v>268816.24893991876</v>
      </c>
      <c r="H51" s="36">
        <f>A35</f>
        <v>-179210.83262661251</v>
      </c>
      <c r="I51" s="36">
        <f>C35+A39</f>
        <v>358421.66525322502</v>
      </c>
      <c r="J51" s="40">
        <f>D35+B39</f>
        <v>0</v>
      </c>
      <c r="K51" s="56"/>
      <c r="L51" s="36" t="s">
        <v>62</v>
      </c>
      <c r="M51" s="57"/>
      <c r="N51" s="55">
        <f>T22*1000</f>
        <v>0</v>
      </c>
    </row>
    <row r="52" spans="3:14" x14ac:dyDescent="0.25">
      <c r="D52" s="48">
        <v>6</v>
      </c>
      <c r="E52" s="36">
        <f>SUMIF($AA$27:$AD$42,$D$52*100+E46,$A$27:$E$42)</f>
        <v>-268816.24893991876</v>
      </c>
      <c r="F52" s="36">
        <f>SUMIF($AA$27:$AD$42,$D$52*100+F46,$A$27:$E$42)</f>
        <v>-403224.37340987817</v>
      </c>
      <c r="G52" s="40">
        <f>SUMIF($AA$27:$AD$42,$D$52*100+G46,$A$27:$E$42)</f>
        <v>-403224.37340987817</v>
      </c>
      <c r="H52" s="36">
        <f>SUMIF($AA$27:$AD$42,$D$52*100+H46,$A$27:$E$42)</f>
        <v>268816.24893991876</v>
      </c>
      <c r="I52" s="36">
        <f>C36+A40</f>
        <v>0</v>
      </c>
      <c r="J52" s="40">
        <f>D36+B40</f>
        <v>806448.74681975634</v>
      </c>
      <c r="K52" s="56"/>
      <c r="L52" s="36" t="s">
        <v>63</v>
      </c>
      <c r="M52" s="57"/>
      <c r="N52" s="55">
        <f>U22*1000</f>
        <v>-100000</v>
      </c>
    </row>
    <row r="53" spans="3:14" x14ac:dyDescent="0.25">
      <c r="D53" s="19"/>
      <c r="E53" s="50"/>
      <c r="F53" s="50"/>
      <c r="G53" s="50"/>
      <c r="H53" s="50"/>
      <c r="I53" s="50"/>
      <c r="J53" s="50"/>
      <c r="K53" s="50"/>
      <c r="L53" s="19"/>
    </row>
    <row r="54" spans="3:14" x14ac:dyDescent="0.25">
      <c r="D54" s="19"/>
      <c r="E54" s="51"/>
      <c r="F54" s="51"/>
      <c r="G54" s="51"/>
      <c r="H54" s="51"/>
      <c r="I54" s="51"/>
      <c r="J54" s="51"/>
      <c r="K54" s="51"/>
      <c r="L54" s="19"/>
    </row>
    <row r="55" spans="3:14" x14ac:dyDescent="0.25">
      <c r="D55" s="19"/>
      <c r="E55" s="48"/>
      <c r="F55" s="40" t="s">
        <v>61</v>
      </c>
      <c r="G55" s="57"/>
      <c r="H55" s="37">
        <f>(INDEX(MMULT(MINVERSE(H50:J52),(N50:N52)),1,1))</f>
        <v>8.5249194104211112E-2</v>
      </c>
      <c r="I55" s="19"/>
      <c r="J55" s="19"/>
    </row>
    <row r="56" spans="3:14" x14ac:dyDescent="0.25">
      <c r="D56" s="19"/>
      <c r="E56" s="48"/>
      <c r="F56" s="40" t="s">
        <v>62</v>
      </c>
      <c r="G56" s="57"/>
      <c r="H56" s="37">
        <f>(INDEX(MMULT(MINVERSE(H50:J52),(N50:N52)),2,1))</f>
        <v>4.2624597052105556E-2</v>
      </c>
      <c r="I56" s="19"/>
      <c r="J56" s="19"/>
    </row>
    <row r="57" spans="3:14" x14ac:dyDescent="0.25">
      <c r="D57" s="19"/>
      <c r="E57" s="48"/>
      <c r="F57" s="40" t="s">
        <v>63</v>
      </c>
      <c r="G57" s="57"/>
      <c r="H57" s="37">
        <f>(INDEX(MMULT(MINVERSE(H50:J52),(N50:N52)),3,1))</f>
        <v>-0.15241683872529749</v>
      </c>
      <c r="I57" s="19"/>
      <c r="J57" s="19"/>
    </row>
    <row r="58" spans="3:14" x14ac:dyDescent="0.25">
      <c r="D58" s="19"/>
      <c r="E58" s="19"/>
      <c r="F58" s="19"/>
      <c r="G58" s="19"/>
      <c r="H58" s="19"/>
      <c r="I58" s="19"/>
      <c r="J58" s="19"/>
    </row>
    <row r="59" spans="3:14" ht="15.75" thickBot="1" x14ac:dyDescent="0.3"/>
    <row r="60" spans="3:14" ht="15.75" thickBot="1" x14ac:dyDescent="0.3">
      <c r="C60" s="236" t="s">
        <v>71</v>
      </c>
      <c r="D60" s="237"/>
      <c r="E60" s="237"/>
      <c r="F60" s="238"/>
    </row>
    <row r="61" spans="3:14" ht="15.75" thickBot="1" x14ac:dyDescent="0.3">
      <c r="C61" s="235" t="s">
        <v>118</v>
      </c>
      <c r="D61" s="235"/>
      <c r="E61" s="235"/>
      <c r="F61" s="135">
        <f>H50*C8+I50*C9+J50*C10-N50</f>
        <v>-1.862645149230957E-9</v>
      </c>
    </row>
    <row r="62" spans="3:14" ht="15.75" thickBot="1" x14ac:dyDescent="0.3">
      <c r="C62" s="235" t="s">
        <v>110</v>
      </c>
      <c r="D62" s="235"/>
      <c r="E62" s="235"/>
      <c r="F62" s="135">
        <f>H51*C18+I51*C9+J51*C10-N51</f>
        <v>-3660241.6303474233</v>
      </c>
    </row>
    <row r="63" spans="3:14" ht="15.75" thickBot="1" x14ac:dyDescent="0.3">
      <c r="C63" s="249" t="s">
        <v>111</v>
      </c>
      <c r="D63" s="249"/>
      <c r="E63" s="249"/>
      <c r="F63" s="140">
        <f>H52*C8+I52*C9+J52*C10-N52</f>
        <v>24058256.820550121</v>
      </c>
    </row>
    <row r="64" spans="3:14" ht="15.75" thickBot="1" x14ac:dyDescent="0.3"/>
    <row r="65" spans="3:6" x14ac:dyDescent="0.25">
      <c r="C65" s="236" t="s">
        <v>72</v>
      </c>
      <c r="D65" s="237"/>
      <c r="E65" s="237"/>
      <c r="F65" s="238"/>
    </row>
    <row r="66" spans="3:6" ht="15.75" thickBot="1" x14ac:dyDescent="0.3">
      <c r="C66" s="239" t="s">
        <v>119</v>
      </c>
      <c r="D66" s="240"/>
      <c r="E66" s="240"/>
      <c r="F66" s="138">
        <f>0.5*((N50*C8)+(N51*C9)+(N52*C10))</f>
        <v>-1825820.8830497726</v>
      </c>
    </row>
  </sheetData>
  <mergeCells count="17">
    <mergeCell ref="B19:B20"/>
    <mergeCell ref="C19:C20"/>
    <mergeCell ref="D19:E19"/>
    <mergeCell ref="F19:G19"/>
    <mergeCell ref="H19:H20"/>
    <mergeCell ref="L19:L20"/>
    <mergeCell ref="O19:O20"/>
    <mergeCell ref="C60:F60"/>
    <mergeCell ref="C63:E63"/>
    <mergeCell ref="I19:I20"/>
    <mergeCell ref="C61:E61"/>
    <mergeCell ref="C1:K2"/>
    <mergeCell ref="C62:E62"/>
    <mergeCell ref="C65:F65"/>
    <mergeCell ref="C66:E66"/>
    <mergeCell ref="J19:J20"/>
    <mergeCell ref="K19:K20"/>
  </mergeCells>
  <conditionalFormatting sqref="N21">
    <cfRule type="cellIs" dxfId="138" priority="15" operator="equal">
      <formula>IF($L$21&gt;$M$21,$N$21)</formula>
    </cfRule>
  </conditionalFormatting>
  <conditionalFormatting sqref="N22">
    <cfRule type="cellIs" dxfId="137" priority="14" operator="equal">
      <formula>IF($L$22&gt;$M$22,$N$22)</formula>
    </cfRule>
  </conditionalFormatting>
  <conditionalFormatting sqref="N23">
    <cfRule type="cellIs" dxfId="136" priority="13" operator="equal">
      <formula>IF($L$23&gt;$M$23,$N$23)</formula>
    </cfRule>
  </conditionalFormatting>
  <conditionalFormatting sqref="O21">
    <cfRule type="cellIs" dxfId="135" priority="12" operator="equal">
      <formula>IF($L$21&gt;$M$21,$O$21)</formula>
    </cfRule>
  </conditionalFormatting>
  <conditionalFormatting sqref="O22">
    <cfRule type="cellIs" dxfId="134" priority="11" operator="equal">
      <formula>IF($L$22&gt;$M$22,$O$22)</formula>
    </cfRule>
  </conditionalFormatting>
  <conditionalFormatting sqref="O23">
    <cfRule type="cellIs" dxfId="133" priority="10" operator="equal">
      <formula>IF($L$23&gt;$M$23,$O$23)</formula>
    </cfRule>
  </conditionalFormatting>
  <dataValidations disablePrompts="1" count="2">
    <dataValidation type="decimal" operator="greaterThan" allowBlank="1" showInputMessage="1" showErrorMessage="1" error="Just positive number is acceptable_x000a_" sqref="H21:J24 C21">
      <formula1>0</formula1>
    </dataValidation>
    <dataValidation type="decimal" allowBlank="1" showInputMessage="1" showErrorMessage="1" error="Just positive number is acceptable_x000a_Min:0.1                    Max:2" sqref="N19">
      <formula1>0.1</formula1>
      <formula2>2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8"/>
  <sheetViews>
    <sheetView topLeftCell="C1" workbookViewId="0">
      <selection activeCell="B18" sqref="B18"/>
    </sheetView>
  </sheetViews>
  <sheetFormatPr defaultRowHeight="15" x14ac:dyDescent="0.25"/>
  <cols>
    <col min="2" max="2" width="12.28515625" bestFit="1" customWidth="1"/>
    <col min="3" max="3" width="6.5703125" customWidth="1"/>
  </cols>
  <sheetData>
    <row r="1" spans="1:4" x14ac:dyDescent="0.25">
      <c r="A1" s="10" t="s">
        <v>4</v>
      </c>
      <c r="B1" s="15">
        <v>30</v>
      </c>
    </row>
    <row r="2" spans="1:4" x14ac:dyDescent="0.25">
      <c r="A2" s="10" t="s">
        <v>24</v>
      </c>
      <c r="B2" s="15">
        <v>24</v>
      </c>
    </row>
    <row r="3" spans="1:4" x14ac:dyDescent="0.25">
      <c r="A3" s="10" t="s">
        <v>25</v>
      </c>
      <c r="B3" s="15">
        <v>4</v>
      </c>
    </row>
    <row r="4" spans="1:4" x14ac:dyDescent="0.25">
      <c r="A4" s="10" t="s">
        <v>26</v>
      </c>
      <c r="B4" s="15">
        <v>2</v>
      </c>
    </row>
    <row r="5" spans="1:4" x14ac:dyDescent="0.25">
      <c r="A5" s="10" t="s">
        <v>31</v>
      </c>
      <c r="B5" s="2">
        <v>0.5</v>
      </c>
      <c r="C5" s="10" t="s">
        <v>33</v>
      </c>
      <c r="D5" s="13">
        <v>0.5</v>
      </c>
    </row>
    <row r="6" spans="1:4" x14ac:dyDescent="0.25">
      <c r="A6" s="10" t="s">
        <v>32</v>
      </c>
      <c r="B6" s="2">
        <v>4</v>
      </c>
      <c r="C6" s="10" t="s">
        <v>34</v>
      </c>
      <c r="D6" s="13">
        <v>2</v>
      </c>
    </row>
    <row r="7" spans="1:4" x14ac:dyDescent="0.25">
      <c r="A7" s="10" t="s">
        <v>8</v>
      </c>
      <c r="B7" s="2">
        <v>10</v>
      </c>
      <c r="C7" s="10" t="s">
        <v>36</v>
      </c>
      <c r="D7" s="13">
        <v>20</v>
      </c>
    </row>
    <row r="8" spans="1:4" x14ac:dyDescent="0.25">
      <c r="A8" s="10" t="s">
        <v>9</v>
      </c>
      <c r="B8" s="2">
        <v>30</v>
      </c>
      <c r="C8" s="10" t="s">
        <v>37</v>
      </c>
      <c r="D8" s="13">
        <v>100</v>
      </c>
    </row>
    <row r="9" spans="1:4" x14ac:dyDescent="0.25">
      <c r="A9" s="10" t="s">
        <v>14</v>
      </c>
      <c r="B9" s="2">
        <v>2400</v>
      </c>
    </row>
    <row r="11" spans="1:4" x14ac:dyDescent="0.25">
      <c r="A11" s="10" t="s">
        <v>27</v>
      </c>
      <c r="B11" s="16">
        <f>((B1*B3)*(1.5*B3+B2)+(B2*B4)*(B3+0.5*B2)+(B1*B3)*(0.5*B3))/((B1*B3*2)+(B2*B4))</f>
        <v>16</v>
      </c>
    </row>
    <row r="12" spans="1:4" x14ac:dyDescent="0.25">
      <c r="A12" s="14"/>
      <c r="B12" s="14"/>
    </row>
    <row r="13" spans="1:4" ht="15.75" x14ac:dyDescent="0.25">
      <c r="A13" s="14" t="s">
        <v>29</v>
      </c>
      <c r="B13" s="17">
        <f>B1/(2*B3)</f>
        <v>3.75</v>
      </c>
      <c r="C13" s="18" t="str">
        <f>IF(B13&gt;D13,"&gt;","&lt;")</f>
        <v>&lt;</v>
      </c>
      <c r="D13" s="11">
        <f>545/SQRT(B9)</f>
        <v>11.124765915140268</v>
      </c>
    </row>
    <row r="14" spans="1:4" ht="15.75" x14ac:dyDescent="0.25">
      <c r="A14" s="14" t="s">
        <v>28</v>
      </c>
      <c r="B14" s="16">
        <f>(B2+2*B3)/B4</f>
        <v>16</v>
      </c>
      <c r="C14" s="18" t="str">
        <f>IF(B14&gt;D14,"&gt;","&lt;")</f>
        <v>&lt;</v>
      </c>
      <c r="D14" s="11">
        <f>5365/SQRT(B9)</f>
        <v>109.51260391693125</v>
      </c>
    </row>
    <row r="15" spans="1:4" x14ac:dyDescent="0.25">
      <c r="A15" s="14"/>
      <c r="B15" s="14" t="b">
        <f>AND(B3,B4)</f>
        <v>1</v>
      </c>
    </row>
    <row r="16" spans="1:4" x14ac:dyDescent="0.25">
      <c r="A16" s="14" t="s">
        <v>35</v>
      </c>
      <c r="B16" s="16">
        <f>B2-12*B4</f>
        <v>0</v>
      </c>
    </row>
    <row r="17" spans="1:2" x14ac:dyDescent="0.25">
      <c r="A17" s="14"/>
      <c r="B17" s="14"/>
    </row>
    <row r="18" spans="1:2" ht="15.75" x14ac:dyDescent="0.25">
      <c r="A18" s="12" t="s">
        <v>30</v>
      </c>
      <c r="B18" s="17">
        <f>2*(((B1*(B3)^3)/12)+(B1*B3)*(B2+2*B3-0.5*B3-B11)^2)+(B4*(B2)^3)/12</f>
        <v>49664</v>
      </c>
    </row>
  </sheetData>
  <customSheetViews>
    <customSheetView guid="{5E047470-7D77-426D-B94B-7966AE8B6508}">
      <selection activeCell="C6" sqref="C6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135"/>
  <sheetViews>
    <sheetView tabSelected="1" topLeftCell="C2" zoomScale="90" zoomScaleNormal="90" workbookViewId="0">
      <selection activeCell="C6" sqref="C6:C23"/>
    </sheetView>
  </sheetViews>
  <sheetFormatPr defaultRowHeight="15" x14ac:dyDescent="0.25"/>
  <cols>
    <col min="3" max="3" width="8.140625" customWidth="1"/>
    <col min="5" max="6" width="8.5703125" customWidth="1"/>
    <col min="9" max="10" width="13" bestFit="1" customWidth="1"/>
    <col min="11" max="11" width="8.7109375" customWidth="1"/>
    <col min="13" max="13" width="11.42578125" bestFit="1" customWidth="1"/>
    <col min="14" max="14" width="9.5703125" customWidth="1"/>
    <col min="23" max="23" width="9.42578125" bestFit="1" customWidth="1"/>
  </cols>
  <sheetData>
    <row r="1" spans="1:12" ht="21" customHeight="1" thickBot="1" x14ac:dyDescent="0.3">
      <c r="A1" s="259" t="s">
        <v>130</v>
      </c>
      <c r="B1" s="260"/>
      <c r="C1" s="260"/>
      <c r="D1" s="260"/>
      <c r="E1" s="225"/>
      <c r="F1" s="262" t="s">
        <v>173</v>
      </c>
      <c r="G1" s="262"/>
      <c r="H1" s="262"/>
      <c r="I1" s="262"/>
      <c r="J1" s="262"/>
      <c r="K1" s="262"/>
      <c r="L1" s="262"/>
    </row>
    <row r="2" spans="1:12" ht="14.25" customHeight="1" thickBot="1" x14ac:dyDescent="0.3">
      <c r="A2" s="256" t="s">
        <v>119</v>
      </c>
      <c r="B2" s="256"/>
      <c r="C2" s="266">
        <f>0.5*((T35*C16)+(U35*C17)+(T34*C18)+(U34*C19)+(T33*C20)+(U33*C21)+(T32*C22)+(U32*C23))</f>
        <v>14.672071245014843</v>
      </c>
      <c r="D2" s="266"/>
      <c r="E2" s="225"/>
      <c r="F2" s="262"/>
      <c r="G2" s="262"/>
      <c r="H2" s="262"/>
      <c r="I2" s="262"/>
      <c r="J2" s="262"/>
      <c r="K2" s="262"/>
      <c r="L2" s="262"/>
    </row>
    <row r="3" spans="1:12" ht="14.25" customHeight="1" thickBot="1" x14ac:dyDescent="0.3">
      <c r="A3" s="256" t="s">
        <v>120</v>
      </c>
      <c r="B3" s="256"/>
      <c r="C3" s="266">
        <f>C6*C33*0.01+C7*C34*0.01+C8*C35*0.01+C9*C36*0.01+C10*C37*0.01+C11*C38*0.01+C12*C39*0.01+C13*C40*0.01+C14*C41*0.01+C15*C42*0.01</f>
        <v>5.7328188235806721</v>
      </c>
      <c r="D3" s="266"/>
      <c r="E3" s="225"/>
      <c r="F3" s="230"/>
      <c r="G3" s="230"/>
      <c r="H3" s="230"/>
      <c r="I3" s="230"/>
      <c r="J3" s="230"/>
      <c r="K3" s="230"/>
      <c r="L3" s="230"/>
    </row>
    <row r="4" spans="1:12" ht="15.75" thickBot="1" x14ac:dyDescent="0.3">
      <c r="A4" s="256" t="s">
        <v>127</v>
      </c>
      <c r="B4" s="256"/>
      <c r="C4" s="256">
        <f>MMULT(I112:I119,C16)+MMULT(J112:J119,C17)+MMULT(K112:K119,C18)+MMULT(L112:L119,C19)+MMULT(M112:M119,C20)+MMULT(N112:N119,C21)+MMULT(O112:O119,C22)+MMULT(P112:P119,C23)-MMULT(T112:T119,1)</f>
        <v>6.3443258113693446E-7</v>
      </c>
      <c r="D4" s="256"/>
    </row>
    <row r="5" spans="1:12" ht="15.75" thickBot="1" x14ac:dyDescent="0.3">
      <c r="D5" s="91" t="s">
        <v>165</v>
      </c>
      <c r="E5" s="91" t="s">
        <v>166</v>
      </c>
    </row>
    <row r="6" spans="1:12" ht="15.75" thickBot="1" x14ac:dyDescent="0.3">
      <c r="B6" s="91" t="s">
        <v>39</v>
      </c>
      <c r="C6" s="75">
        <v>6.6237505394294374</v>
      </c>
      <c r="D6" s="74">
        <v>5</v>
      </c>
      <c r="E6" s="74">
        <v>30</v>
      </c>
    </row>
    <row r="7" spans="1:12" ht="15.75" thickBot="1" x14ac:dyDescent="0.3">
      <c r="B7" s="91" t="s">
        <v>40</v>
      </c>
      <c r="C7" s="75">
        <v>5</v>
      </c>
      <c r="D7" s="74">
        <v>5</v>
      </c>
      <c r="E7" s="74">
        <v>30</v>
      </c>
    </row>
    <row r="8" spans="1:12" ht="15.75" thickBot="1" x14ac:dyDescent="0.3">
      <c r="B8" s="91" t="s">
        <v>41</v>
      </c>
      <c r="C8" s="75">
        <v>7.2679161272372417</v>
      </c>
      <c r="D8" s="74">
        <v>5</v>
      </c>
      <c r="E8" s="74">
        <v>30</v>
      </c>
    </row>
    <row r="9" spans="1:12" ht="15.75" thickBot="1" x14ac:dyDescent="0.3">
      <c r="B9" s="91" t="s">
        <v>77</v>
      </c>
      <c r="C9" s="75">
        <v>5</v>
      </c>
      <c r="D9" s="74">
        <v>5</v>
      </c>
      <c r="E9" s="74">
        <v>30</v>
      </c>
    </row>
    <row r="10" spans="1:12" ht="15.75" thickBot="1" x14ac:dyDescent="0.3">
      <c r="B10" s="91" t="s">
        <v>78</v>
      </c>
      <c r="C10" s="75">
        <v>5</v>
      </c>
      <c r="D10" s="74">
        <v>5</v>
      </c>
      <c r="E10" s="74">
        <v>30</v>
      </c>
    </row>
    <row r="11" spans="1:12" ht="15.75" thickBot="1" x14ac:dyDescent="0.3">
      <c r="B11" s="91" t="s">
        <v>79</v>
      </c>
      <c r="C11" s="75">
        <v>5</v>
      </c>
      <c r="D11" s="74">
        <v>5</v>
      </c>
      <c r="E11" s="74">
        <v>30</v>
      </c>
    </row>
    <row r="12" spans="1:12" ht="15.75" thickBot="1" x14ac:dyDescent="0.3">
      <c r="B12" s="91" t="s">
        <v>80</v>
      </c>
      <c r="C12" s="75">
        <v>5.3669397069606708</v>
      </c>
      <c r="D12" s="74">
        <v>5</v>
      </c>
      <c r="E12" s="74">
        <v>30</v>
      </c>
    </row>
    <row r="13" spans="1:12" ht="15.75" thickBot="1" x14ac:dyDescent="0.3">
      <c r="B13" s="91" t="s">
        <v>81</v>
      </c>
      <c r="C13" s="75">
        <v>5</v>
      </c>
      <c r="D13" s="74">
        <v>5</v>
      </c>
      <c r="E13" s="74">
        <v>30</v>
      </c>
    </row>
    <row r="14" spans="1:12" ht="15.75" thickBot="1" x14ac:dyDescent="0.3">
      <c r="B14" s="91" t="s">
        <v>82</v>
      </c>
      <c r="C14" s="75">
        <v>5</v>
      </c>
      <c r="D14" s="74">
        <v>5</v>
      </c>
      <c r="E14" s="74">
        <v>30</v>
      </c>
    </row>
    <row r="15" spans="1:12" ht="15.75" thickBot="1" x14ac:dyDescent="0.3">
      <c r="B15" s="91" t="s">
        <v>83</v>
      </c>
      <c r="C15" s="75">
        <v>5</v>
      </c>
      <c r="D15" s="74">
        <v>5</v>
      </c>
      <c r="E15" s="74">
        <v>30</v>
      </c>
    </row>
    <row r="16" spans="1:12" ht="15.75" thickBot="1" x14ac:dyDescent="0.3">
      <c r="B16" s="92" t="s">
        <v>93</v>
      </c>
      <c r="C16" s="75">
        <v>-0.62689176450424189</v>
      </c>
      <c r="D16" s="19">
        <f>INDEX(MMULT(MINVERSE(I112:P119),T112:T119),1,1)</f>
        <v>-0.62689176451707762</v>
      </c>
      <c r="E16" s="149">
        <f>ABS((C16-D16)/C16)</f>
        <v>2.0475197161111263E-11</v>
      </c>
    </row>
    <row r="17" spans="2:23" ht="15.75" thickBot="1" x14ac:dyDescent="0.3">
      <c r="B17" s="92" t="s">
        <v>94</v>
      </c>
      <c r="C17" s="75">
        <v>-1.8806752935127256</v>
      </c>
      <c r="D17" s="19">
        <f>INDEX(MMULT(MINVERSE(I112:P119),T112:T119),2,1)</f>
        <v>-1.8806752934291411</v>
      </c>
      <c r="E17" s="149">
        <f t="shared" ref="E17:E22" si="0">ABS((C17-D17)/C17)</f>
        <v>4.4443861715445504E-11</v>
      </c>
    </row>
    <row r="18" spans="2:23" ht="15.75" thickBot="1" x14ac:dyDescent="0.3">
      <c r="B18" s="92" t="s">
        <v>95</v>
      </c>
      <c r="C18" s="75">
        <v>0.62689176450424189</v>
      </c>
      <c r="D18" s="19">
        <f>INDEX(MMULT(MINVERSE(I112:P119),T112:T119),3,1)</f>
        <v>0.62689176449015704</v>
      </c>
      <c r="E18" s="149">
        <f t="shared" si="0"/>
        <v>2.246774515062519E-11</v>
      </c>
    </row>
    <row r="19" spans="2:23" ht="15.75" thickBot="1" x14ac:dyDescent="0.3">
      <c r="B19" s="92" t="s">
        <v>96</v>
      </c>
      <c r="C19" s="75">
        <v>-1.7442516081428405</v>
      </c>
      <c r="D19">
        <f>INDEX(MMULT(MINVERSE(I112:P119),T112:T119),4,1)</f>
        <v>-1.7442516080759818</v>
      </c>
      <c r="E19" s="149">
        <f t="shared" si="0"/>
        <v>3.8330903898169915E-11</v>
      </c>
    </row>
    <row r="20" spans="2:23" ht="15.75" thickBot="1" x14ac:dyDescent="0.3">
      <c r="B20" s="92" t="s">
        <v>97</v>
      </c>
      <c r="C20" s="75">
        <v>-0.88551444036555349</v>
      </c>
      <c r="D20">
        <f>INDEX(MMULT(MINVERSE(I112:P119),T112:T119),5,1)</f>
        <v>-0.88551444037645666</v>
      </c>
      <c r="E20" s="149">
        <f t="shared" si="0"/>
        <v>1.2312805710356666E-11</v>
      </c>
    </row>
    <row r="21" spans="2:23" ht="15.75" thickBot="1" x14ac:dyDescent="0.3">
      <c r="B21" s="92" t="s">
        <v>98</v>
      </c>
      <c r="C21" s="75">
        <v>-3.9881532044932113</v>
      </c>
      <c r="D21">
        <f>INDEX(MMULT(MINVERSE(I112:P119),T112:T119),6,1)</f>
        <v>-3.9881532044177055</v>
      </c>
      <c r="E21" s="149">
        <f t="shared" si="0"/>
        <v>1.8932528401987966E-11</v>
      </c>
    </row>
    <row r="22" spans="2:23" ht="15.75" thickBot="1" x14ac:dyDescent="0.3">
      <c r="B22" s="92" t="s">
        <v>99</v>
      </c>
      <c r="C22" s="75">
        <v>0.80369766007150234</v>
      </c>
      <c r="D22">
        <f>INDEX(MMULT(MINVERSE(I112:P119),T112:T119),7,1)</f>
        <v>0.80369766005934906</v>
      </c>
      <c r="E22" s="149">
        <f t="shared" si="0"/>
        <v>1.512170432670286E-11</v>
      </c>
    </row>
    <row r="23" spans="2:23" ht="15.75" thickBot="1" x14ac:dyDescent="0.3">
      <c r="B23" s="92" t="s">
        <v>100</v>
      </c>
      <c r="C23" s="75">
        <v>-3.8113473089259511</v>
      </c>
      <c r="D23">
        <f>INDEX(MMULT(MINVERSE(I112:P119),T112:T119),8,1)</f>
        <v>-3.8113473088485135</v>
      </c>
      <c r="E23" s="148">
        <f>ABS((C23-D23)/C23)</f>
        <v>2.031764769824059E-11</v>
      </c>
    </row>
    <row r="25" spans="2:23" ht="15.75" thickBot="1" x14ac:dyDescent="0.3"/>
    <row r="26" spans="2:23" ht="15.75" thickBot="1" x14ac:dyDescent="0.3">
      <c r="B26" s="93" t="s">
        <v>1</v>
      </c>
      <c r="C26" s="74">
        <f>2.54*360*0.01</f>
        <v>9.1440000000000001</v>
      </c>
    </row>
    <row r="27" spans="2:23" ht="15.75" thickBot="1" x14ac:dyDescent="0.3">
      <c r="B27" s="93" t="s">
        <v>5</v>
      </c>
      <c r="C27" s="74">
        <f>C26</f>
        <v>9.1440000000000001</v>
      </c>
    </row>
    <row r="30" spans="2:23" ht="15.75" thickBot="1" x14ac:dyDescent="0.3">
      <c r="O30" s="139">
        <f>ROUND(1/N31,2)</f>
        <v>0.6</v>
      </c>
    </row>
    <row r="31" spans="2:23" x14ac:dyDescent="0.25">
      <c r="B31" s="263" t="s">
        <v>42</v>
      </c>
      <c r="C31" s="243" t="s">
        <v>43</v>
      </c>
      <c r="D31" s="265" t="s">
        <v>44</v>
      </c>
      <c r="E31" s="265"/>
      <c r="F31" s="265" t="s">
        <v>45</v>
      </c>
      <c r="G31" s="265"/>
      <c r="H31" s="243" t="s">
        <v>38</v>
      </c>
      <c r="I31" s="243" t="s">
        <v>46</v>
      </c>
      <c r="J31" s="243" t="s">
        <v>47</v>
      </c>
      <c r="K31" s="243" t="s">
        <v>48</v>
      </c>
      <c r="L31" s="243" t="s">
        <v>49</v>
      </c>
      <c r="M31" s="86" t="s">
        <v>50</v>
      </c>
      <c r="N31" s="101">
        <v>1.667</v>
      </c>
      <c r="O31" s="247" t="s">
        <v>51</v>
      </c>
      <c r="Q31" s="82" t="s">
        <v>64</v>
      </c>
      <c r="R31" s="79" t="s">
        <v>65</v>
      </c>
      <c r="S31" s="79" t="s">
        <v>66</v>
      </c>
      <c r="T31" s="94" t="s">
        <v>67</v>
      </c>
      <c r="U31" s="86" t="s">
        <v>68</v>
      </c>
      <c r="V31" s="94" t="s">
        <v>69</v>
      </c>
      <c r="W31" s="83" t="s">
        <v>70</v>
      </c>
    </row>
    <row r="32" spans="2:23" x14ac:dyDescent="0.25">
      <c r="B32" s="264"/>
      <c r="C32" s="244"/>
      <c r="D32" s="98" t="s">
        <v>52</v>
      </c>
      <c r="E32" s="98" t="s">
        <v>53</v>
      </c>
      <c r="F32" s="98" t="s">
        <v>52</v>
      </c>
      <c r="G32" s="98" t="s">
        <v>53</v>
      </c>
      <c r="H32" s="244"/>
      <c r="I32" s="244"/>
      <c r="J32" s="244"/>
      <c r="K32" s="244"/>
      <c r="L32" s="244"/>
      <c r="M32" s="95" t="str">
        <f>O30&amp;J31</f>
        <v>0.6Fy</v>
      </c>
      <c r="N32" s="99"/>
      <c r="O32" s="248"/>
      <c r="Q32" s="61">
        <v>1</v>
      </c>
      <c r="R32" s="20">
        <f>2*C26</f>
        <v>18.288</v>
      </c>
      <c r="S32" s="20">
        <f>C27</f>
        <v>9.1440000000000001</v>
      </c>
      <c r="T32" s="59">
        <v>0</v>
      </c>
      <c r="U32" s="59">
        <v>0</v>
      </c>
      <c r="V32" s="129">
        <f>C22</f>
        <v>0.80369766007150234</v>
      </c>
      <c r="W32" s="130">
        <f>C23</f>
        <v>-3.8113473089259511</v>
      </c>
    </row>
    <row r="33" spans="1:30" x14ac:dyDescent="0.25">
      <c r="B33" s="84">
        <v>1</v>
      </c>
      <c r="C33" s="46">
        <f>C26</f>
        <v>9.1440000000000001</v>
      </c>
      <c r="D33" s="20">
        <v>0</v>
      </c>
      <c r="E33" s="20">
        <v>3</v>
      </c>
      <c r="F33" s="20">
        <f>C33</f>
        <v>9.1440000000000001</v>
      </c>
      <c r="G33" s="20">
        <v>3</v>
      </c>
      <c r="H33" s="96">
        <f t="shared" ref="H33:H42" si="1">C6</f>
        <v>6.6237505394294374</v>
      </c>
      <c r="I33" s="21">
        <v>2100000</v>
      </c>
      <c r="J33" s="21">
        <v>2400</v>
      </c>
      <c r="K33" s="20">
        <f>O47</f>
        <v>9536.2935180747718</v>
      </c>
      <c r="L33" s="129">
        <f>ABS(H47*M46+I47*M47+J47*M48+K47*M49)/C6</f>
        <v>1439.7120575884819</v>
      </c>
      <c r="M33" s="129">
        <f>J33*(1/$N$31)</f>
        <v>1439.7120575884821</v>
      </c>
      <c r="N33" s="20" t="str">
        <f>IF(L33&gt;M33,"over stress","")</f>
        <v/>
      </c>
      <c r="O33" s="232">
        <f>ROUND(L33/M33,2)</f>
        <v>1</v>
      </c>
      <c r="Q33" s="61">
        <v>2</v>
      </c>
      <c r="R33" s="20">
        <f>R32</f>
        <v>18.288</v>
      </c>
      <c r="S33" s="20">
        <v>0</v>
      </c>
      <c r="T33" s="59">
        <v>0</v>
      </c>
      <c r="U33" s="59">
        <v>-5</v>
      </c>
      <c r="V33" s="129">
        <f>C20</f>
        <v>-0.88551444036555349</v>
      </c>
      <c r="W33" s="130">
        <f>C21</f>
        <v>-3.9881532044932113</v>
      </c>
    </row>
    <row r="34" spans="1:30" x14ac:dyDescent="0.25">
      <c r="B34" s="84">
        <v>2</v>
      </c>
      <c r="C34" s="103">
        <f>C26</f>
        <v>9.1440000000000001</v>
      </c>
      <c r="D34" s="20">
        <f>C33</f>
        <v>9.1440000000000001</v>
      </c>
      <c r="E34" s="20">
        <f>C27</f>
        <v>9.1440000000000001</v>
      </c>
      <c r="F34" s="20">
        <f>2*C26</f>
        <v>18.288</v>
      </c>
      <c r="G34" s="20">
        <f>C27</f>
        <v>9.1440000000000001</v>
      </c>
      <c r="H34" s="96">
        <f t="shared" si="1"/>
        <v>5</v>
      </c>
      <c r="I34" s="21">
        <v>2100000</v>
      </c>
      <c r="J34" s="21">
        <v>2400</v>
      </c>
      <c r="K34" s="20">
        <f>O53</f>
        <v>2030.2514254770731</v>
      </c>
      <c r="L34" s="129">
        <f>ABS(H53*M52+I53*M53+J53*M54+K53*M55)/C7</f>
        <v>406.05028509541461</v>
      </c>
      <c r="M34" s="129">
        <f>J34*(1/$N$31)</f>
        <v>1439.7120575884821</v>
      </c>
      <c r="N34" s="20" t="str">
        <f t="shared" ref="N34:N41" si="2">IF(L34&gt;M34,"over stress","")</f>
        <v/>
      </c>
      <c r="O34" s="232">
        <f t="shared" ref="O34:O41" si="3">ROUND(L34/M34,2)</f>
        <v>0.28000000000000003</v>
      </c>
      <c r="Q34" s="61">
        <v>3</v>
      </c>
      <c r="R34" s="20">
        <f>C26</f>
        <v>9.1440000000000001</v>
      </c>
      <c r="S34" s="20">
        <f>C27</f>
        <v>9.1440000000000001</v>
      </c>
      <c r="T34" s="59">
        <v>0</v>
      </c>
      <c r="U34" s="59">
        <v>0</v>
      </c>
      <c r="V34" s="129">
        <f>C18</f>
        <v>0.62689176450424189</v>
      </c>
      <c r="W34" s="130">
        <f>C19</f>
        <v>-1.7442516081428405</v>
      </c>
    </row>
    <row r="35" spans="1:30" ht="15.75" thickBot="1" x14ac:dyDescent="0.3">
      <c r="B35" s="84">
        <v>3</v>
      </c>
      <c r="C35" s="103">
        <f>C26</f>
        <v>9.1440000000000001</v>
      </c>
      <c r="D35" s="20">
        <v>0</v>
      </c>
      <c r="E35" s="20">
        <v>0</v>
      </c>
      <c r="F35" s="20">
        <f>C26</f>
        <v>9.1440000000000001</v>
      </c>
      <c r="G35" s="20">
        <v>0</v>
      </c>
      <c r="H35" s="96">
        <f t="shared" si="1"/>
        <v>7.2679161272372417</v>
      </c>
      <c r="I35" s="21">
        <v>2100000</v>
      </c>
      <c r="J35" s="21">
        <v>2400</v>
      </c>
      <c r="K35" s="20">
        <f>O59</f>
        <v>-10463.706481925241</v>
      </c>
      <c r="L35" s="129">
        <f>ABS(H59*M58+I59*M59+J59*M60+K59*M61)/C8</f>
        <v>1439.7120575884821</v>
      </c>
      <c r="M35" s="129">
        <f>J35*(1/$N$31)</f>
        <v>1439.7120575884821</v>
      </c>
      <c r="N35" s="100" t="str">
        <f t="shared" si="2"/>
        <v/>
      </c>
      <c r="O35" s="232">
        <f t="shared" si="3"/>
        <v>1</v>
      </c>
      <c r="Q35" s="131">
        <v>4</v>
      </c>
      <c r="R35" s="132">
        <f>C26</f>
        <v>9.1440000000000001</v>
      </c>
      <c r="S35" s="132">
        <v>0</v>
      </c>
      <c r="T35" s="147">
        <v>0</v>
      </c>
      <c r="U35" s="147">
        <v>-5</v>
      </c>
      <c r="V35" s="134">
        <f>C16</f>
        <v>-0.62689176450424189</v>
      </c>
      <c r="W35" s="133">
        <f>C17</f>
        <v>-1.8806752935127256</v>
      </c>
    </row>
    <row r="36" spans="1:30" x14ac:dyDescent="0.25">
      <c r="B36" s="84">
        <v>4</v>
      </c>
      <c r="C36" s="103">
        <f>C26</f>
        <v>9.1440000000000001</v>
      </c>
      <c r="D36" s="20">
        <f>C26</f>
        <v>9.1440000000000001</v>
      </c>
      <c r="E36" s="20">
        <v>0</v>
      </c>
      <c r="F36" s="20">
        <f>2*C26</f>
        <v>18.288</v>
      </c>
      <c r="G36" s="20">
        <v>0</v>
      </c>
      <c r="H36" s="96">
        <f t="shared" si="1"/>
        <v>5</v>
      </c>
      <c r="I36" s="21">
        <v>2100000</v>
      </c>
      <c r="J36" s="21">
        <v>2400</v>
      </c>
      <c r="K36" s="20">
        <f>O65</f>
        <v>-2969.748574522936</v>
      </c>
      <c r="L36" s="129">
        <f>ABS(H65*M64+I65*M65+J65*M66+K65*M67)/C9</f>
        <v>593.94971490458715</v>
      </c>
      <c r="M36" s="129">
        <f t="shared" ref="M36:M41" si="4">J36*(1/$N$31)</f>
        <v>1439.7120575884821</v>
      </c>
      <c r="N36" s="100" t="str">
        <f t="shared" si="2"/>
        <v/>
      </c>
      <c r="O36" s="232">
        <f t="shared" si="3"/>
        <v>0.41</v>
      </c>
      <c r="Q36" s="19"/>
      <c r="R36" s="19"/>
      <c r="S36" s="19"/>
      <c r="T36" s="19"/>
      <c r="U36" s="19"/>
      <c r="V36" s="19"/>
      <c r="W36" s="19"/>
      <c r="X36" s="19"/>
    </row>
    <row r="37" spans="1:30" x14ac:dyDescent="0.25">
      <c r="B37" s="84">
        <v>5</v>
      </c>
      <c r="C37" s="103">
        <f>C27</f>
        <v>9.1440000000000001</v>
      </c>
      <c r="D37" s="20">
        <f>C26</f>
        <v>9.1440000000000001</v>
      </c>
      <c r="E37" s="20">
        <v>0</v>
      </c>
      <c r="F37" s="20">
        <f>C26</f>
        <v>9.1440000000000001</v>
      </c>
      <c r="G37" s="20">
        <f>C27</f>
        <v>9.1440000000000001</v>
      </c>
      <c r="H37" s="96">
        <f t="shared" si="1"/>
        <v>5</v>
      </c>
      <c r="I37" s="21">
        <v>2100000</v>
      </c>
      <c r="J37" s="21">
        <v>2400</v>
      </c>
      <c r="K37" s="20">
        <f>O71</f>
        <v>1566.5449435518276</v>
      </c>
      <c r="L37" s="129">
        <f>ABS(H71*M70+I71*M71+J71*M72+K71*M73)/C10</f>
        <v>313.3089887103655</v>
      </c>
      <c r="M37" s="129">
        <f t="shared" si="4"/>
        <v>1439.7120575884821</v>
      </c>
      <c r="N37" s="100" t="str">
        <f t="shared" si="2"/>
        <v/>
      </c>
      <c r="O37" s="232">
        <f t="shared" si="3"/>
        <v>0.22</v>
      </c>
      <c r="Q37" s="19"/>
      <c r="R37" s="19"/>
      <c r="S37" s="19"/>
      <c r="T37" s="19"/>
      <c r="U37" s="19"/>
      <c r="V37" s="19"/>
      <c r="W37" s="19"/>
      <c r="X37" s="19"/>
    </row>
    <row r="38" spans="1:30" x14ac:dyDescent="0.25">
      <c r="B38" s="84">
        <v>6</v>
      </c>
      <c r="C38" s="103">
        <f>C27</f>
        <v>9.1440000000000001</v>
      </c>
      <c r="D38" s="20">
        <f>2*C26</f>
        <v>18.288</v>
      </c>
      <c r="E38" s="20">
        <v>0</v>
      </c>
      <c r="F38" s="20">
        <f>2*C26</f>
        <v>18.288</v>
      </c>
      <c r="G38" s="20">
        <f>C27</f>
        <v>9.1440000000000001</v>
      </c>
      <c r="H38" s="96">
        <f t="shared" si="1"/>
        <v>5</v>
      </c>
      <c r="I38" s="21">
        <v>2100000</v>
      </c>
      <c r="J38" s="21">
        <v>2400</v>
      </c>
      <c r="K38" s="20">
        <f>O77</f>
        <v>2030.2514254770722</v>
      </c>
      <c r="L38" s="129">
        <f>ABS(H77*M76+I77*M77+J77*M78+K77*M79)/C11</f>
        <v>406.05028509541444</v>
      </c>
      <c r="M38" s="129">
        <f t="shared" si="4"/>
        <v>1439.7120575884821</v>
      </c>
      <c r="N38" s="100" t="str">
        <f t="shared" si="2"/>
        <v/>
      </c>
      <c r="O38" s="232">
        <f t="shared" si="3"/>
        <v>0.28000000000000003</v>
      </c>
      <c r="Q38" s="19"/>
      <c r="R38" s="19"/>
      <c r="S38" s="19"/>
      <c r="T38" s="19"/>
      <c r="U38" s="19"/>
      <c r="V38" s="19"/>
      <c r="W38" s="19"/>
      <c r="X38" s="19"/>
    </row>
    <row r="39" spans="1:30" x14ac:dyDescent="0.25">
      <c r="B39" s="84">
        <v>7</v>
      </c>
      <c r="C39" s="103">
        <f>SQRT(C26^2+C27^2)</f>
        <v>12.931568814339581</v>
      </c>
      <c r="D39" s="20">
        <f>C26</f>
        <v>9.1440000000000001</v>
      </c>
      <c r="E39" s="20">
        <v>0</v>
      </c>
      <c r="F39" s="20">
        <v>0</v>
      </c>
      <c r="G39" s="20">
        <f>C27</f>
        <v>9.1440000000000001</v>
      </c>
      <c r="H39" s="96">
        <f t="shared" si="1"/>
        <v>5.3669397069606708</v>
      </c>
      <c r="I39" s="21">
        <v>2100000</v>
      </c>
      <c r="J39" s="21">
        <v>2400</v>
      </c>
      <c r="K39" s="20">
        <f>O83</f>
        <v>7726.8478084616745</v>
      </c>
      <c r="L39" s="129">
        <f>ABS(H83*M82+I83*M83+J83*M84+K83*M85)/C12</f>
        <v>1439.7120575884824</v>
      </c>
      <c r="M39" s="129">
        <f t="shared" si="4"/>
        <v>1439.7120575884821</v>
      </c>
      <c r="N39" s="100" t="str">
        <f t="shared" si="2"/>
        <v/>
      </c>
      <c r="O39" s="232">
        <f t="shared" si="3"/>
        <v>1</v>
      </c>
      <c r="Q39" s="19"/>
      <c r="R39" s="19"/>
      <c r="S39" s="19"/>
      <c r="T39" s="19"/>
      <c r="U39" s="19"/>
      <c r="V39" s="19"/>
      <c r="W39" s="19"/>
      <c r="X39" s="19"/>
    </row>
    <row r="40" spans="1:30" x14ac:dyDescent="0.25">
      <c r="B40" s="84">
        <v>8</v>
      </c>
      <c r="C40" s="103">
        <f>C39</f>
        <v>12.931568814339581</v>
      </c>
      <c r="D40" s="20">
        <v>0</v>
      </c>
      <c r="E40" s="20">
        <v>0</v>
      </c>
      <c r="F40" s="20">
        <f>C26</f>
        <v>9.1440000000000001</v>
      </c>
      <c r="G40" s="20">
        <f>C27</f>
        <v>9.1440000000000001</v>
      </c>
      <c r="H40" s="96">
        <f t="shared" si="1"/>
        <v>5</v>
      </c>
      <c r="I40" s="21">
        <v>2100000</v>
      </c>
      <c r="J40" s="21">
        <v>2400</v>
      </c>
      <c r="K40" s="20">
        <f>O89</f>
        <v>-6415.2878161664958</v>
      </c>
      <c r="L40" s="129">
        <f>ABS(H89*M88+I89*M89+J89*M90+K89*M91)/C13</f>
        <v>1283.0575632332991</v>
      </c>
      <c r="M40" s="129">
        <f t="shared" si="4"/>
        <v>1439.7120575884821</v>
      </c>
      <c r="N40" s="100" t="str">
        <f t="shared" si="2"/>
        <v/>
      </c>
      <c r="O40" s="232">
        <f t="shared" si="3"/>
        <v>0.89</v>
      </c>
      <c r="Q40" s="19"/>
      <c r="R40" s="19"/>
      <c r="S40" s="19"/>
      <c r="T40" s="19"/>
      <c r="U40" s="19"/>
      <c r="V40" s="19"/>
      <c r="W40" s="19"/>
      <c r="X40" s="19"/>
    </row>
    <row r="41" spans="1:30" x14ac:dyDescent="0.25">
      <c r="B41" s="84">
        <v>9</v>
      </c>
      <c r="C41" s="103">
        <f>C40</f>
        <v>12.931568814339581</v>
      </c>
      <c r="D41" s="20">
        <f>2*C26</f>
        <v>18.288</v>
      </c>
      <c r="E41" s="20">
        <v>0</v>
      </c>
      <c r="F41" s="20">
        <f>C26</f>
        <v>9.1440000000000001</v>
      </c>
      <c r="G41" s="20">
        <f>C27</f>
        <v>9.1440000000000001</v>
      </c>
      <c r="H41" s="96">
        <f t="shared" si="1"/>
        <v>5</v>
      </c>
      <c r="I41" s="21">
        <v>2100000</v>
      </c>
      <c r="J41" s="21">
        <v>2400</v>
      </c>
      <c r="K41" s="20">
        <f>O95</f>
        <v>4199.8587109284999</v>
      </c>
      <c r="L41" s="129">
        <f>ABS(H95*M94+I95*M95+J95*M96+K95*M97)/C14</f>
        <v>839.97174218570001</v>
      </c>
      <c r="M41" s="129">
        <f t="shared" si="4"/>
        <v>1439.7120575884821</v>
      </c>
      <c r="N41" s="100" t="str">
        <f t="shared" si="2"/>
        <v/>
      </c>
      <c r="O41" s="232">
        <f t="shared" si="3"/>
        <v>0.57999999999999996</v>
      </c>
      <c r="Q41" s="19"/>
      <c r="R41" s="19"/>
      <c r="S41" s="19"/>
      <c r="T41" s="19"/>
      <c r="U41" s="19"/>
      <c r="V41" s="19"/>
      <c r="W41" s="19"/>
      <c r="X41" s="19"/>
    </row>
    <row r="42" spans="1:30" ht="15.75" thickBot="1" x14ac:dyDescent="0.3">
      <c r="B42" s="85">
        <v>10</v>
      </c>
      <c r="C42" s="104">
        <f>C41</f>
        <v>12.931568814339581</v>
      </c>
      <c r="D42" s="64">
        <f>C26</f>
        <v>9.1440000000000001</v>
      </c>
      <c r="E42" s="64">
        <v>0</v>
      </c>
      <c r="F42" s="64">
        <f>2*C26</f>
        <v>18.288</v>
      </c>
      <c r="G42" s="64">
        <f>C27</f>
        <v>9.1440000000000001</v>
      </c>
      <c r="H42" s="97">
        <f t="shared" si="1"/>
        <v>5</v>
      </c>
      <c r="I42" s="70">
        <v>2100000</v>
      </c>
      <c r="J42" s="70">
        <v>2400</v>
      </c>
      <c r="K42" s="64">
        <f>O101</f>
        <v>-2871.2091009369833</v>
      </c>
      <c r="L42" s="141">
        <f>ABS(H101*M100+I101*M101+J101*M102+K101*M103)/C15</f>
        <v>574.24182018739668</v>
      </c>
      <c r="M42" s="141">
        <f>J42*(1/$N$31)</f>
        <v>1439.7120575884821</v>
      </c>
      <c r="N42" s="102" t="str">
        <f>IF(L42&gt;M42,"over stress","")</f>
        <v/>
      </c>
      <c r="O42" s="233">
        <f>ROUND(L42/M42,2)</f>
        <v>0.4</v>
      </c>
    </row>
    <row r="43" spans="1:30" x14ac:dyDescent="0.25">
      <c r="B43" s="52"/>
      <c r="C43" s="53"/>
      <c r="D43" s="50"/>
      <c r="E43" s="50"/>
      <c r="F43" s="50"/>
      <c r="G43" s="50"/>
      <c r="H43" s="54"/>
      <c r="I43" s="54"/>
      <c r="J43" s="54"/>
      <c r="K43" s="50"/>
      <c r="L43" s="50"/>
      <c r="M43" s="50"/>
      <c r="N43" s="50"/>
      <c r="O43" s="50"/>
    </row>
    <row r="44" spans="1:30" ht="15.75" thickBot="1" x14ac:dyDescent="0.3">
      <c r="A44">
        <v>3</v>
      </c>
      <c r="B44" s="52">
        <v>4</v>
      </c>
      <c r="C44">
        <v>7</v>
      </c>
      <c r="D44">
        <v>8</v>
      </c>
      <c r="F44" s="19"/>
    </row>
    <row r="45" spans="1:30" s="110" customFormat="1" x14ac:dyDescent="0.25">
      <c r="A45" s="105" t="s">
        <v>54</v>
      </c>
      <c r="B45" s="106">
        <f>(F33-D33)/C33</f>
        <v>1</v>
      </c>
      <c r="C45" s="107" t="s">
        <v>55</v>
      </c>
      <c r="D45" s="106">
        <f>(G33-E33)/C33</f>
        <v>0</v>
      </c>
      <c r="E45" s="108">
        <f>(C6*I33)/(C33*100)</f>
        <v>15212.025517062355</v>
      </c>
      <c r="F45" s="109"/>
      <c r="G45" s="109"/>
      <c r="H45" s="109"/>
      <c r="I45" s="109"/>
      <c r="J45" s="109"/>
      <c r="K45" s="109"/>
      <c r="L45" s="109"/>
      <c r="M45" s="109"/>
      <c r="N45" s="52"/>
      <c r="O45" s="109"/>
      <c r="AA45" s="110">
        <f>A44</f>
        <v>3</v>
      </c>
      <c r="AB45" s="110">
        <f>B44</f>
        <v>4</v>
      </c>
      <c r="AC45" s="110">
        <f>C44</f>
        <v>7</v>
      </c>
      <c r="AD45" s="110">
        <f>D44</f>
        <v>8</v>
      </c>
    </row>
    <row r="46" spans="1:30" s="110" customFormat="1" x14ac:dyDescent="0.25">
      <c r="A46" s="111">
        <f>E45*(B45^2)</f>
        <v>15212.025517062355</v>
      </c>
      <c r="B46" s="50">
        <f>E45*D45*B45</f>
        <v>0</v>
      </c>
      <c r="C46" s="50">
        <f>-A46</f>
        <v>-15212.025517062355</v>
      </c>
      <c r="D46" s="50">
        <f>-B45*D45*E45</f>
        <v>0</v>
      </c>
      <c r="E46" s="112"/>
      <c r="F46" s="113">
        <v>3</v>
      </c>
      <c r="G46" s="109"/>
      <c r="H46" s="114">
        <f>A44</f>
        <v>3</v>
      </c>
      <c r="I46" s="114">
        <f>B44</f>
        <v>4</v>
      </c>
      <c r="J46" s="114">
        <f>C44</f>
        <v>7</v>
      </c>
      <c r="K46" s="114">
        <f>D44</f>
        <v>8</v>
      </c>
      <c r="L46" s="112"/>
      <c r="M46" s="115">
        <v>0</v>
      </c>
      <c r="N46" s="116"/>
      <c r="O46" s="109"/>
      <c r="Z46" s="110">
        <f>F46</f>
        <v>3</v>
      </c>
      <c r="AA46" s="110">
        <f>$Z$46*100+AA45</f>
        <v>303</v>
      </c>
      <c r="AB46" s="110">
        <f>$Z$46*100+AB45</f>
        <v>304</v>
      </c>
      <c r="AC46" s="110">
        <f>$Z$46*100+AC45</f>
        <v>307</v>
      </c>
      <c r="AD46" s="110">
        <f>$Z$46*100+AD45</f>
        <v>308</v>
      </c>
    </row>
    <row r="47" spans="1:30" s="110" customFormat="1" ht="15.75" x14ac:dyDescent="0.25">
      <c r="A47" s="111">
        <f>E45*B45*D45</f>
        <v>0</v>
      </c>
      <c r="B47" s="50">
        <f>E45*(D45^2)</f>
        <v>0</v>
      </c>
      <c r="C47" s="50">
        <f>-B45*D45*E45</f>
        <v>0</v>
      </c>
      <c r="D47" s="50">
        <f>-(D45^2)*E45</f>
        <v>0</v>
      </c>
      <c r="E47" s="112">
        <v>1</v>
      </c>
      <c r="F47" s="113">
        <v>4</v>
      </c>
      <c r="G47" s="117" t="s">
        <v>56</v>
      </c>
      <c r="H47" s="114">
        <f>-((C6*I33)/(C33*100))*(B45^2)</f>
        <v>-15212.025517062355</v>
      </c>
      <c r="I47" s="114">
        <v>0</v>
      </c>
      <c r="J47" s="114">
        <f>B45*((C6*I33)/(C33*100))*(B45^2)</f>
        <v>15212.025517062355</v>
      </c>
      <c r="K47" s="118">
        <f>D45*E45</f>
        <v>0</v>
      </c>
      <c r="L47" s="112"/>
      <c r="M47" s="115">
        <v>0</v>
      </c>
      <c r="N47" s="119" t="s">
        <v>57</v>
      </c>
      <c r="O47" s="120">
        <f>INDEX(MMULT(H47:K47,M46:M49),1,1)</f>
        <v>9536.2935180747718</v>
      </c>
      <c r="R47" s="51"/>
      <c r="Z47" s="110">
        <f>F47</f>
        <v>4</v>
      </c>
      <c r="AA47" s="110">
        <f>$Z$47*100+AA45</f>
        <v>403</v>
      </c>
      <c r="AB47" s="110">
        <f>$Z$47*100+AB45</f>
        <v>404</v>
      </c>
      <c r="AC47" s="110">
        <f>$Z$47*100+AC45</f>
        <v>407</v>
      </c>
      <c r="AD47" s="110">
        <f>$Z$47*100+AD45</f>
        <v>408</v>
      </c>
    </row>
    <row r="48" spans="1:30" s="110" customFormat="1" x14ac:dyDescent="0.25">
      <c r="A48" s="111">
        <f>-(B45^2)*E45</f>
        <v>-15212.025517062355</v>
      </c>
      <c r="B48" s="50">
        <f>-B45*D45*E45</f>
        <v>0</v>
      </c>
      <c r="C48" s="50">
        <f>E45*(B45^2)</f>
        <v>15212.025517062355</v>
      </c>
      <c r="D48" s="50">
        <f>B45*D45*E45</f>
        <v>0</v>
      </c>
      <c r="E48" s="112"/>
      <c r="F48" s="113">
        <v>7</v>
      </c>
      <c r="G48" s="109"/>
      <c r="H48" s="109"/>
      <c r="I48" s="109"/>
      <c r="J48" s="109"/>
      <c r="K48" s="109"/>
      <c r="L48" s="112"/>
      <c r="M48" s="142">
        <f>C18</f>
        <v>0.62689176450424189</v>
      </c>
      <c r="N48" s="116"/>
      <c r="O48" s="50"/>
      <c r="R48" s="51"/>
      <c r="Z48" s="110">
        <f>F48</f>
        <v>7</v>
      </c>
      <c r="AA48" s="110">
        <f>$Z$48*100+AA45</f>
        <v>703</v>
      </c>
      <c r="AB48" s="110">
        <f>$Z$48*100+AB45</f>
        <v>704</v>
      </c>
      <c r="AC48" s="110">
        <f>$Z$48*100+AC45</f>
        <v>707</v>
      </c>
      <c r="AD48" s="110">
        <f>$Z$48*100+AD45</f>
        <v>708</v>
      </c>
    </row>
    <row r="49" spans="1:30" s="110" customFormat="1" ht="15.75" thickBot="1" x14ac:dyDescent="0.3">
      <c r="A49" s="121">
        <f>-B45*D45*E45</f>
        <v>0</v>
      </c>
      <c r="B49" s="122">
        <f>-(D45^2)*E45</f>
        <v>0</v>
      </c>
      <c r="C49" s="122">
        <f>B45*D45*E45</f>
        <v>0</v>
      </c>
      <c r="D49" s="122">
        <f>E45*(D45^2)</f>
        <v>0</v>
      </c>
      <c r="E49" s="123"/>
      <c r="F49" s="113">
        <v>8</v>
      </c>
      <c r="G49" s="109"/>
      <c r="H49" s="109"/>
      <c r="I49" s="109"/>
      <c r="J49" s="109"/>
      <c r="K49" s="109"/>
      <c r="L49" s="112"/>
      <c r="M49" s="142">
        <f>C19</f>
        <v>-1.7442516081428405</v>
      </c>
      <c r="N49" s="116"/>
      <c r="O49" s="50"/>
      <c r="R49" s="51"/>
      <c r="Z49" s="110">
        <f>F49</f>
        <v>8</v>
      </c>
      <c r="AA49" s="110">
        <f>$Z$49*100+AA45</f>
        <v>803</v>
      </c>
      <c r="AB49" s="110">
        <f>$Z$49*100+AB45</f>
        <v>804</v>
      </c>
      <c r="AC49" s="110">
        <f>$Z$49*100+AC45</f>
        <v>807</v>
      </c>
      <c r="AD49" s="110">
        <f>$Z$49*100+AD45</f>
        <v>808</v>
      </c>
    </row>
    <row r="50" spans="1:30" s="110" customFormat="1" ht="15.75" thickBot="1" x14ac:dyDescent="0.3">
      <c r="A50" s="110">
        <v>7</v>
      </c>
      <c r="B50" s="110">
        <v>8</v>
      </c>
      <c r="C50" s="110">
        <v>11</v>
      </c>
      <c r="D50" s="110">
        <v>12</v>
      </c>
    </row>
    <row r="51" spans="1:30" s="110" customFormat="1" x14ac:dyDescent="0.25">
      <c r="A51" s="105" t="s">
        <v>54</v>
      </c>
      <c r="B51" s="106">
        <f>(F34-D34)/C34</f>
        <v>1</v>
      </c>
      <c r="C51" s="107" t="s">
        <v>55</v>
      </c>
      <c r="D51" s="106">
        <f>(G34-E34)/C34</f>
        <v>0</v>
      </c>
      <c r="E51" s="108">
        <f>(I34*C7)/(C34*100)</f>
        <v>11482.939632545933</v>
      </c>
      <c r="F51" s="109"/>
      <c r="G51" s="109"/>
      <c r="H51" s="109"/>
      <c r="I51" s="109"/>
      <c r="J51" s="109"/>
      <c r="K51" s="109"/>
      <c r="L51" s="109"/>
      <c r="M51" s="109"/>
      <c r="N51" s="52"/>
      <c r="O51" s="109"/>
      <c r="AA51" s="110">
        <f>A50</f>
        <v>7</v>
      </c>
      <c r="AB51" s="110">
        <f>B50</f>
        <v>8</v>
      </c>
      <c r="AC51" s="110">
        <f>C50</f>
        <v>11</v>
      </c>
      <c r="AD51" s="110">
        <f>D50</f>
        <v>12</v>
      </c>
    </row>
    <row r="52" spans="1:30" s="110" customFormat="1" x14ac:dyDescent="0.25">
      <c r="A52" s="111">
        <f>E51*(B51^2)</f>
        <v>11482.939632545933</v>
      </c>
      <c r="B52" s="50">
        <f>E51*D51*B51</f>
        <v>0</v>
      </c>
      <c r="C52" s="50">
        <f>-A52</f>
        <v>-11482.939632545933</v>
      </c>
      <c r="D52" s="50">
        <f>-B51*D51*E51</f>
        <v>0</v>
      </c>
      <c r="E52" s="112"/>
      <c r="F52" s="113">
        <v>7</v>
      </c>
      <c r="G52" s="109"/>
      <c r="H52" s="114">
        <f>A50</f>
        <v>7</v>
      </c>
      <c r="I52" s="114">
        <f>B50</f>
        <v>8</v>
      </c>
      <c r="J52" s="114">
        <f>C50</f>
        <v>11</v>
      </c>
      <c r="K52" s="114">
        <f>D50</f>
        <v>12</v>
      </c>
      <c r="L52" s="112"/>
      <c r="M52" s="142">
        <f>C18</f>
        <v>0.62689176450424189</v>
      </c>
      <c r="N52" s="116"/>
      <c r="O52" s="109"/>
      <c r="Z52" s="110">
        <f>F52</f>
        <v>7</v>
      </c>
      <c r="AA52" s="110">
        <f>$Z$52*100+AA51</f>
        <v>707</v>
      </c>
      <c r="AB52" s="110">
        <f>$Z$52*100+AB51</f>
        <v>708</v>
      </c>
      <c r="AC52" s="110">
        <f>$Z$52*100+AC51</f>
        <v>711</v>
      </c>
      <c r="AD52" s="110">
        <f>$Z$52*100+AD51</f>
        <v>712</v>
      </c>
    </row>
    <row r="53" spans="1:30" s="110" customFormat="1" ht="15.75" x14ac:dyDescent="0.25">
      <c r="A53" s="111">
        <f>E51*B51*D51</f>
        <v>0</v>
      </c>
      <c r="B53" s="50">
        <f>E51*(D51^2)</f>
        <v>0</v>
      </c>
      <c r="C53" s="50">
        <f>-B51*D51*E51</f>
        <v>0</v>
      </c>
      <c r="D53" s="50">
        <f>-(D51^2)*E51</f>
        <v>0</v>
      </c>
      <c r="E53" s="112">
        <v>2</v>
      </c>
      <c r="F53" s="113">
        <v>8</v>
      </c>
      <c r="G53" s="117" t="s">
        <v>84</v>
      </c>
      <c r="H53" s="114">
        <f>-B51*((I34*C7)/(C34*100))</f>
        <v>-11482.939632545933</v>
      </c>
      <c r="I53" s="114">
        <f>-D51*((I34*C7)/(C34*100))</f>
        <v>0</v>
      </c>
      <c r="J53" s="114">
        <f>B51*((I34*C7)/(C34*100))</f>
        <v>11482.939632545933</v>
      </c>
      <c r="K53" s="118">
        <f>D51*((I34*C7)/(C34*100))</f>
        <v>0</v>
      </c>
      <c r="L53" s="112"/>
      <c r="M53" s="142">
        <f>C19</f>
        <v>-1.7442516081428405</v>
      </c>
      <c r="N53" s="119" t="s">
        <v>57</v>
      </c>
      <c r="O53" s="120">
        <f>INDEX(MMULT(H53:K53,M52:M55),1,1)</f>
        <v>2030.2514254770731</v>
      </c>
      <c r="Z53" s="110">
        <f>F53</f>
        <v>8</v>
      </c>
      <c r="AA53" s="110">
        <f>$Z$53*100+AA51</f>
        <v>807</v>
      </c>
      <c r="AB53" s="110">
        <f>$Z$53*100+AB51</f>
        <v>808</v>
      </c>
      <c r="AC53" s="110">
        <f>$Z$53*100+AC51</f>
        <v>811</v>
      </c>
      <c r="AD53" s="110">
        <f>$Z$53*100+AD51</f>
        <v>812</v>
      </c>
    </row>
    <row r="54" spans="1:30" s="110" customFormat="1" x14ac:dyDescent="0.25">
      <c r="A54" s="111">
        <f>-(B51^2)*E51</f>
        <v>-11482.939632545933</v>
      </c>
      <c r="B54" s="50">
        <f>-B51*D51*E51</f>
        <v>0</v>
      </c>
      <c r="C54" s="50">
        <f>E51*(B51^2)</f>
        <v>11482.939632545933</v>
      </c>
      <c r="D54" s="50">
        <f>B51*D51*E51</f>
        <v>0</v>
      </c>
      <c r="E54" s="112"/>
      <c r="F54" s="113">
        <v>11</v>
      </c>
      <c r="G54" s="109"/>
      <c r="H54" s="109"/>
      <c r="I54" s="109"/>
      <c r="J54" s="109"/>
      <c r="K54" s="109"/>
      <c r="L54" s="112"/>
      <c r="M54" s="142">
        <f>C22</f>
        <v>0.80369766007150234</v>
      </c>
      <c r="N54" s="116"/>
      <c r="O54" s="50"/>
      <c r="Z54" s="110">
        <f>F54</f>
        <v>11</v>
      </c>
      <c r="AA54" s="110">
        <f>$Z$54*100+AA51</f>
        <v>1107</v>
      </c>
      <c r="AB54" s="110">
        <f>$Z$54*100+AB51</f>
        <v>1108</v>
      </c>
      <c r="AC54" s="110">
        <f>$Z$54*100+AC51</f>
        <v>1111</v>
      </c>
      <c r="AD54" s="110">
        <f>$Z$54*100+AD51</f>
        <v>1112</v>
      </c>
    </row>
    <row r="55" spans="1:30" s="110" customFormat="1" ht="15.75" thickBot="1" x14ac:dyDescent="0.3">
      <c r="A55" s="121">
        <f>-B51*D51*E51</f>
        <v>0</v>
      </c>
      <c r="B55" s="122">
        <f>-(D51^2)*E51</f>
        <v>0</v>
      </c>
      <c r="C55" s="122">
        <f>B51*D51*E51</f>
        <v>0</v>
      </c>
      <c r="D55" s="122">
        <f>E51*(D51^2)</f>
        <v>0</v>
      </c>
      <c r="E55" s="123"/>
      <c r="F55" s="113">
        <v>12</v>
      </c>
      <c r="G55" s="109"/>
      <c r="H55" s="109"/>
      <c r="I55" s="109"/>
      <c r="J55" s="109"/>
      <c r="K55" s="109"/>
      <c r="L55" s="112"/>
      <c r="M55" s="142">
        <f>C23</f>
        <v>-3.8113473089259511</v>
      </c>
      <c r="N55" s="116"/>
      <c r="O55" s="50"/>
      <c r="Z55" s="110">
        <f>F55</f>
        <v>12</v>
      </c>
      <c r="AA55" s="110">
        <f>$Z$55*100+AA51</f>
        <v>1207</v>
      </c>
      <c r="AB55" s="110">
        <f>$Z$55*100+AB51</f>
        <v>1208</v>
      </c>
      <c r="AC55" s="110">
        <f>$Z$55*100+AC51</f>
        <v>1211</v>
      </c>
      <c r="AD55" s="110">
        <f>$Z$55*100+AD51</f>
        <v>1212</v>
      </c>
    </row>
    <row r="56" spans="1:30" s="110" customFormat="1" ht="15.75" thickBot="1" x14ac:dyDescent="0.3">
      <c r="A56" s="110">
        <v>1</v>
      </c>
      <c r="B56" s="110">
        <v>2</v>
      </c>
      <c r="C56" s="110">
        <v>5</v>
      </c>
      <c r="D56" s="110">
        <v>6</v>
      </c>
    </row>
    <row r="57" spans="1:30" s="110" customFormat="1" x14ac:dyDescent="0.25">
      <c r="A57" s="105" t="s">
        <v>54</v>
      </c>
      <c r="B57" s="106">
        <f>(F35-D35)/C35</f>
        <v>1</v>
      </c>
      <c r="C57" s="107" t="s">
        <v>55</v>
      </c>
      <c r="D57" s="106">
        <f>(G35-E35)/C35</f>
        <v>0</v>
      </c>
      <c r="E57" s="108">
        <f>(C8*I35)/(C35*100)</f>
        <v>16691.408428694453</v>
      </c>
      <c r="F57" s="109"/>
      <c r="G57" s="109"/>
      <c r="H57" s="109"/>
      <c r="I57" s="109"/>
      <c r="J57" s="109"/>
      <c r="K57" s="109"/>
      <c r="L57" s="109"/>
      <c r="M57" s="109"/>
      <c r="N57" s="52"/>
      <c r="O57" s="109"/>
      <c r="AA57" s="110">
        <f>A56</f>
        <v>1</v>
      </c>
      <c r="AB57" s="110">
        <f>B56</f>
        <v>2</v>
      </c>
      <c r="AC57" s="110">
        <f>C56</f>
        <v>5</v>
      </c>
      <c r="AD57" s="110">
        <f>D56</f>
        <v>6</v>
      </c>
    </row>
    <row r="58" spans="1:30" s="110" customFormat="1" x14ac:dyDescent="0.25">
      <c r="A58" s="111">
        <f>E57*(B57^2)</f>
        <v>16691.408428694453</v>
      </c>
      <c r="B58" s="50">
        <f>E57*D57*B57</f>
        <v>0</v>
      </c>
      <c r="C58" s="50">
        <f>-A58</f>
        <v>-16691.408428694453</v>
      </c>
      <c r="D58" s="50">
        <f>-B57*D57*E57</f>
        <v>0</v>
      </c>
      <c r="E58" s="112"/>
      <c r="F58" s="113">
        <v>1</v>
      </c>
      <c r="G58" s="109"/>
      <c r="H58" s="114">
        <f>A56</f>
        <v>1</v>
      </c>
      <c r="I58" s="114">
        <f>B56</f>
        <v>2</v>
      </c>
      <c r="J58" s="114">
        <f>C56</f>
        <v>5</v>
      </c>
      <c r="K58" s="114">
        <f>D56</f>
        <v>6</v>
      </c>
      <c r="L58" s="112"/>
      <c r="M58" s="115">
        <v>0</v>
      </c>
      <c r="N58" s="116"/>
      <c r="O58" s="109"/>
      <c r="Z58" s="110">
        <f>F58</f>
        <v>1</v>
      </c>
      <c r="AA58" s="110">
        <f>$Z$58*100+AA57</f>
        <v>101</v>
      </c>
      <c r="AB58" s="110">
        <f>$Z$58*100+AB57</f>
        <v>102</v>
      </c>
      <c r="AC58" s="110">
        <f>$Z$58*100+AC57</f>
        <v>105</v>
      </c>
      <c r="AD58" s="110">
        <f>$Z$58*100+AD57</f>
        <v>106</v>
      </c>
    </row>
    <row r="59" spans="1:30" s="110" customFormat="1" ht="15.75" x14ac:dyDescent="0.25">
      <c r="A59" s="111">
        <f>E57*B57*D57</f>
        <v>0</v>
      </c>
      <c r="B59" s="50">
        <f>E57*(D57^2)</f>
        <v>0</v>
      </c>
      <c r="C59" s="50">
        <f>-B57*D57*E57</f>
        <v>0</v>
      </c>
      <c r="D59" s="50">
        <f>-(D57^2)*E57</f>
        <v>0</v>
      </c>
      <c r="E59" s="112">
        <v>3</v>
      </c>
      <c r="F59" s="113">
        <v>2</v>
      </c>
      <c r="G59" s="117" t="s">
        <v>85</v>
      </c>
      <c r="H59" s="114">
        <f>-B57*(C8*I35)/(C35*100)</f>
        <v>-16691.408428694453</v>
      </c>
      <c r="I59" s="114">
        <f>-D57*(C8*I35)/(C35*100)</f>
        <v>0</v>
      </c>
      <c r="J59" s="114">
        <f>B57*(C8*I35)/(C35*100)</f>
        <v>16691.408428694453</v>
      </c>
      <c r="K59" s="118">
        <f>D57*(C8*I35)/(C35*100)</f>
        <v>0</v>
      </c>
      <c r="L59" s="112"/>
      <c r="M59" s="115">
        <v>0</v>
      </c>
      <c r="N59" s="119" t="s">
        <v>57</v>
      </c>
      <c r="O59" s="120">
        <f>INDEX(MMULT(H59:K59,M58:M61),1,1)</f>
        <v>-10463.706481925241</v>
      </c>
      <c r="Z59" s="110">
        <f>F59</f>
        <v>2</v>
      </c>
      <c r="AA59" s="110">
        <f>$Z$59*100+AA57</f>
        <v>201</v>
      </c>
      <c r="AB59" s="110">
        <f>$Z$59*100+AB57</f>
        <v>202</v>
      </c>
      <c r="AC59" s="110">
        <f>$Z$59*100+AC57</f>
        <v>205</v>
      </c>
      <c r="AD59" s="110">
        <f>$Z$59*100+AD57</f>
        <v>206</v>
      </c>
    </row>
    <row r="60" spans="1:30" s="110" customFormat="1" x14ac:dyDescent="0.25">
      <c r="A60" s="111">
        <f>-(B57^2)*E57</f>
        <v>-16691.408428694453</v>
      </c>
      <c r="B60" s="50">
        <f>-B57*D57*E57</f>
        <v>0</v>
      </c>
      <c r="C60" s="50">
        <f>E57*(B57^2)</f>
        <v>16691.408428694453</v>
      </c>
      <c r="D60" s="50">
        <f>B57*D57*E57</f>
        <v>0</v>
      </c>
      <c r="E60" s="112"/>
      <c r="F60" s="113">
        <v>5</v>
      </c>
      <c r="G60" s="109"/>
      <c r="H60" s="109"/>
      <c r="I60" s="109"/>
      <c r="J60" s="109"/>
      <c r="K60" s="109"/>
      <c r="L60" s="112"/>
      <c r="M60" s="142">
        <f>C16</f>
        <v>-0.62689176450424189</v>
      </c>
      <c r="N60" s="116"/>
      <c r="O60" s="50"/>
      <c r="Z60" s="110">
        <f>F60</f>
        <v>5</v>
      </c>
      <c r="AA60" s="110">
        <f>$Z$60*100+AA57</f>
        <v>501</v>
      </c>
      <c r="AB60" s="110">
        <f>$Z$60*100+AB57</f>
        <v>502</v>
      </c>
      <c r="AC60" s="110">
        <f>$Z$60*100+AC57</f>
        <v>505</v>
      </c>
      <c r="AD60" s="110">
        <f>$Z$60*100+AD57</f>
        <v>506</v>
      </c>
    </row>
    <row r="61" spans="1:30" s="110" customFormat="1" ht="15.75" thickBot="1" x14ac:dyDescent="0.3">
      <c r="A61" s="121">
        <f>-B57*D57*E57</f>
        <v>0</v>
      </c>
      <c r="B61" s="122">
        <f>-(D57^2)*E57</f>
        <v>0</v>
      </c>
      <c r="C61" s="122">
        <f>B57*D57*E57</f>
        <v>0</v>
      </c>
      <c r="D61" s="122">
        <f>E57*(D57^2)</f>
        <v>0</v>
      </c>
      <c r="E61" s="123"/>
      <c r="F61" s="113">
        <v>6</v>
      </c>
      <c r="G61" s="109"/>
      <c r="H61" s="109"/>
      <c r="I61" s="109"/>
      <c r="J61" s="109"/>
      <c r="K61" s="109"/>
      <c r="L61" s="112"/>
      <c r="M61" s="142">
        <f>C17</f>
        <v>-1.8806752935127256</v>
      </c>
      <c r="N61" s="116"/>
      <c r="O61" s="50"/>
      <c r="Z61" s="110">
        <f>F61</f>
        <v>6</v>
      </c>
      <c r="AA61" s="110">
        <f>$Z$61*100+AA57</f>
        <v>601</v>
      </c>
      <c r="AB61" s="110">
        <f>$Z$61*100+AB57</f>
        <v>602</v>
      </c>
      <c r="AC61" s="110">
        <f>$Z$61*100+AC57</f>
        <v>605</v>
      </c>
      <c r="AD61" s="110">
        <f>$Z$61*100+AD57</f>
        <v>606</v>
      </c>
    </row>
    <row r="62" spans="1:30" s="110" customFormat="1" ht="15.75" thickBot="1" x14ac:dyDescent="0.3">
      <c r="A62" s="110">
        <v>5</v>
      </c>
      <c r="B62" s="110">
        <v>6</v>
      </c>
      <c r="C62" s="110">
        <v>9</v>
      </c>
      <c r="D62" s="110">
        <v>10</v>
      </c>
    </row>
    <row r="63" spans="1:30" s="110" customFormat="1" x14ac:dyDescent="0.25">
      <c r="A63" s="105" t="s">
        <v>54</v>
      </c>
      <c r="B63" s="106">
        <f>(F36-D36)/C36</f>
        <v>1</v>
      </c>
      <c r="C63" s="107" t="s">
        <v>55</v>
      </c>
      <c r="D63" s="106">
        <f>(G36-E36)/C36</f>
        <v>0</v>
      </c>
      <c r="E63" s="108">
        <f>(I36*C9)/(C36*100)</f>
        <v>11482.939632545933</v>
      </c>
      <c r="F63" s="109"/>
      <c r="G63" s="109"/>
      <c r="H63" s="109"/>
      <c r="I63" s="109"/>
      <c r="J63" s="109"/>
      <c r="K63" s="109"/>
      <c r="L63" s="109"/>
      <c r="M63" s="109"/>
      <c r="N63" s="52"/>
      <c r="O63" s="109"/>
      <c r="AA63" s="110">
        <f>A62</f>
        <v>5</v>
      </c>
      <c r="AB63" s="110">
        <f>B62</f>
        <v>6</v>
      </c>
      <c r="AC63" s="110">
        <f>C62</f>
        <v>9</v>
      </c>
      <c r="AD63" s="110">
        <f>D62</f>
        <v>10</v>
      </c>
    </row>
    <row r="64" spans="1:30" s="110" customFormat="1" x14ac:dyDescent="0.25">
      <c r="A64" s="111">
        <f>E63*(B63^2)</f>
        <v>11482.939632545933</v>
      </c>
      <c r="B64" s="50">
        <f>E63*D63*B63</f>
        <v>0</v>
      </c>
      <c r="C64" s="50">
        <f>-A64</f>
        <v>-11482.939632545933</v>
      </c>
      <c r="D64" s="50">
        <f>-B63*D63*E63</f>
        <v>0</v>
      </c>
      <c r="E64" s="112"/>
      <c r="F64" s="113">
        <v>5</v>
      </c>
      <c r="G64" s="109"/>
      <c r="H64" s="114">
        <f>A62</f>
        <v>5</v>
      </c>
      <c r="I64" s="114">
        <f>B62</f>
        <v>6</v>
      </c>
      <c r="J64" s="114">
        <f>C62</f>
        <v>9</v>
      </c>
      <c r="K64" s="114">
        <f>D62</f>
        <v>10</v>
      </c>
      <c r="L64" s="112"/>
      <c r="M64" s="142">
        <f>C16</f>
        <v>-0.62689176450424189</v>
      </c>
      <c r="N64" s="116"/>
      <c r="O64" s="109"/>
      <c r="Z64" s="110">
        <f>F64</f>
        <v>5</v>
      </c>
      <c r="AA64" s="110">
        <f>$Z$64*100+AA63</f>
        <v>505</v>
      </c>
      <c r="AB64" s="110">
        <f>$Z$64*100+AB63</f>
        <v>506</v>
      </c>
      <c r="AC64" s="110">
        <f>$Z$64*100+AC63</f>
        <v>509</v>
      </c>
      <c r="AD64" s="110">
        <f>$Z$64*100+AD63</f>
        <v>510</v>
      </c>
    </row>
    <row r="65" spans="1:30" s="110" customFormat="1" ht="15.75" x14ac:dyDescent="0.25">
      <c r="A65" s="111">
        <f>E63*B63*D63</f>
        <v>0</v>
      </c>
      <c r="B65" s="50">
        <f>E63*(D63^2)</f>
        <v>0</v>
      </c>
      <c r="C65" s="50">
        <f>-B63*D63*E63</f>
        <v>0</v>
      </c>
      <c r="D65" s="50">
        <f>-(D63^2)*E63</f>
        <v>0</v>
      </c>
      <c r="E65" s="112">
        <v>4</v>
      </c>
      <c r="F65" s="113">
        <v>6</v>
      </c>
      <c r="G65" s="117" t="s">
        <v>87</v>
      </c>
      <c r="H65" s="114">
        <f>-B63*(I36*C9)/(C36*100)</f>
        <v>-11482.939632545933</v>
      </c>
      <c r="I65" s="114">
        <f>-D63*(I36*C9)/(C36*100)</f>
        <v>0</v>
      </c>
      <c r="J65" s="114">
        <f>B63*(I36*C9)/(C36*100)</f>
        <v>11482.939632545933</v>
      </c>
      <c r="K65" s="118">
        <f>D63*(I36*C9)/(C36*100)</f>
        <v>0</v>
      </c>
      <c r="L65" s="112"/>
      <c r="M65" s="142">
        <f>C17</f>
        <v>-1.8806752935127256</v>
      </c>
      <c r="N65" s="119" t="s">
        <v>57</v>
      </c>
      <c r="O65" s="120">
        <f>INDEX(MMULT(H65:K65,M64:M67),1,1)</f>
        <v>-2969.748574522936</v>
      </c>
      <c r="Z65" s="110">
        <f>F65</f>
        <v>6</v>
      </c>
      <c r="AA65" s="110">
        <f>$Z$65*100+AA63</f>
        <v>605</v>
      </c>
      <c r="AB65" s="110">
        <f>$Z$65*100+AB63</f>
        <v>606</v>
      </c>
      <c r="AC65" s="110">
        <f>$Z$65*100+AC63</f>
        <v>609</v>
      </c>
      <c r="AD65" s="110">
        <f>$Z$65*100+AD63</f>
        <v>610</v>
      </c>
    </row>
    <row r="66" spans="1:30" s="110" customFormat="1" x14ac:dyDescent="0.25">
      <c r="A66" s="111">
        <f>-(B63^2)*E63</f>
        <v>-11482.939632545933</v>
      </c>
      <c r="B66" s="50">
        <f>-B63*D63*E63</f>
        <v>0</v>
      </c>
      <c r="C66" s="50">
        <f>E63*(B63^2)</f>
        <v>11482.939632545933</v>
      </c>
      <c r="D66" s="50">
        <f>B63*D63*E63</f>
        <v>0</v>
      </c>
      <c r="E66" s="112"/>
      <c r="F66" s="113">
        <v>9</v>
      </c>
      <c r="G66" s="109"/>
      <c r="H66" s="109"/>
      <c r="I66" s="109"/>
      <c r="J66" s="109"/>
      <c r="K66" s="109"/>
      <c r="L66" s="112"/>
      <c r="M66" s="115">
        <f>C20</f>
        <v>-0.88551444036555349</v>
      </c>
      <c r="N66" s="116"/>
      <c r="O66" s="50"/>
      <c r="Z66" s="110">
        <f>F66</f>
        <v>9</v>
      </c>
      <c r="AA66" s="110">
        <f>$Z$66*100+AA63</f>
        <v>905</v>
      </c>
      <c r="AB66" s="110">
        <f>$Z$66*100+AB63</f>
        <v>906</v>
      </c>
      <c r="AC66" s="110">
        <f>$Z$66*100+AC63</f>
        <v>909</v>
      </c>
      <c r="AD66" s="110">
        <f>$Z$66*100+AD63</f>
        <v>910</v>
      </c>
    </row>
    <row r="67" spans="1:30" s="110" customFormat="1" ht="15.75" thickBot="1" x14ac:dyDescent="0.3">
      <c r="A67" s="121">
        <f>-B63*D63*E63</f>
        <v>0</v>
      </c>
      <c r="B67" s="122">
        <f>-(D63^2)*E63</f>
        <v>0</v>
      </c>
      <c r="C67" s="122">
        <f>B63*D63*E63</f>
        <v>0</v>
      </c>
      <c r="D67" s="122">
        <f>E63*(D63^2)</f>
        <v>0</v>
      </c>
      <c r="E67" s="123"/>
      <c r="F67" s="113">
        <v>10</v>
      </c>
      <c r="G67" s="109"/>
      <c r="H67" s="109"/>
      <c r="I67" s="109"/>
      <c r="J67" s="109"/>
      <c r="K67" s="109"/>
      <c r="L67" s="112"/>
      <c r="M67" s="142">
        <f>C21</f>
        <v>-3.9881532044932113</v>
      </c>
      <c r="N67" s="116"/>
      <c r="O67" s="50"/>
      <c r="Z67" s="110">
        <f>F67</f>
        <v>10</v>
      </c>
      <c r="AA67" s="110">
        <f>$Z$67*100+AA63</f>
        <v>1005</v>
      </c>
      <c r="AB67" s="110">
        <f>$Z$67*100+AB63</f>
        <v>1006</v>
      </c>
      <c r="AC67" s="110">
        <f>$Z$67*100+AC63</f>
        <v>1009</v>
      </c>
      <c r="AD67" s="110">
        <f>$Z$67*100+AD63</f>
        <v>1010</v>
      </c>
    </row>
    <row r="68" spans="1:30" s="110" customFormat="1" ht="15.75" thickBot="1" x14ac:dyDescent="0.3">
      <c r="A68" s="110">
        <v>5</v>
      </c>
      <c r="B68" s="110">
        <v>6</v>
      </c>
      <c r="C68" s="110">
        <v>7</v>
      </c>
      <c r="D68" s="110">
        <v>8</v>
      </c>
    </row>
    <row r="69" spans="1:30" s="110" customFormat="1" x14ac:dyDescent="0.25">
      <c r="A69" s="105" t="s">
        <v>54</v>
      </c>
      <c r="B69" s="106">
        <f>(F37-D37)/C37</f>
        <v>0</v>
      </c>
      <c r="C69" s="107" t="s">
        <v>55</v>
      </c>
      <c r="D69" s="106">
        <f>(G37-E37)/C37</f>
        <v>1</v>
      </c>
      <c r="E69" s="108">
        <f>(I37*C10)/(C37*100)</f>
        <v>11482.939632545933</v>
      </c>
      <c r="F69" s="109"/>
      <c r="G69" s="109"/>
      <c r="H69" s="109"/>
      <c r="I69" s="109"/>
      <c r="J69" s="109"/>
      <c r="K69" s="109"/>
      <c r="L69" s="109"/>
      <c r="M69" s="109"/>
      <c r="N69" s="52"/>
      <c r="O69" s="109"/>
      <c r="AA69" s="110">
        <f>A68</f>
        <v>5</v>
      </c>
      <c r="AB69" s="110">
        <f>B68</f>
        <v>6</v>
      </c>
      <c r="AC69" s="110">
        <f>C68</f>
        <v>7</v>
      </c>
      <c r="AD69" s="110">
        <f>D68</f>
        <v>8</v>
      </c>
    </row>
    <row r="70" spans="1:30" s="110" customFormat="1" x14ac:dyDescent="0.25">
      <c r="A70" s="111">
        <f>E69*(B69^2)</f>
        <v>0</v>
      </c>
      <c r="B70" s="50">
        <f>E69*D69*B69</f>
        <v>0</v>
      </c>
      <c r="C70" s="50">
        <f>-A70</f>
        <v>0</v>
      </c>
      <c r="D70" s="50">
        <f>-B69*D69*E69</f>
        <v>0</v>
      </c>
      <c r="E70" s="112"/>
      <c r="F70" s="113">
        <v>5</v>
      </c>
      <c r="G70" s="109"/>
      <c r="H70" s="114">
        <f>A68</f>
        <v>5</v>
      </c>
      <c r="I70" s="114">
        <f>B68</f>
        <v>6</v>
      </c>
      <c r="J70" s="114">
        <f>C68</f>
        <v>7</v>
      </c>
      <c r="K70" s="114">
        <f>D68</f>
        <v>8</v>
      </c>
      <c r="L70" s="112"/>
      <c r="M70" s="142">
        <f>C16</f>
        <v>-0.62689176450424189</v>
      </c>
      <c r="N70" s="116"/>
      <c r="O70" s="109"/>
      <c r="Z70" s="110">
        <f>F70</f>
        <v>5</v>
      </c>
      <c r="AA70" s="110">
        <f>$Z$70*100+AA69</f>
        <v>505</v>
      </c>
      <c r="AB70" s="110">
        <f>$Z$70*100+AB69</f>
        <v>506</v>
      </c>
      <c r="AC70" s="110">
        <f>$Z$70*100+AC69</f>
        <v>507</v>
      </c>
      <c r="AD70" s="110">
        <f>$Z$70*100+AD69</f>
        <v>508</v>
      </c>
    </row>
    <row r="71" spans="1:30" s="110" customFormat="1" ht="15.75" x14ac:dyDescent="0.25">
      <c r="A71" s="111">
        <f>E69*B69*D69</f>
        <v>0</v>
      </c>
      <c r="B71" s="50">
        <f>E69*(D69^2)</f>
        <v>11482.939632545933</v>
      </c>
      <c r="C71" s="50">
        <f>-B69*D69*E69</f>
        <v>0</v>
      </c>
      <c r="D71" s="50">
        <f>-(D69^2)*E69</f>
        <v>-11482.939632545933</v>
      </c>
      <c r="E71" s="112">
        <v>5</v>
      </c>
      <c r="F71" s="113">
        <v>6</v>
      </c>
      <c r="G71" s="117" t="s">
        <v>86</v>
      </c>
      <c r="H71" s="114">
        <f>-B69*(I37*C10)/(C37*100)</f>
        <v>0</v>
      </c>
      <c r="I71" s="114">
        <f>-D69*(I37*C10)/(C37*100)</f>
        <v>-11482.939632545933</v>
      </c>
      <c r="J71" s="114">
        <f>B69*(I37*C10)/(C37*100)</f>
        <v>0</v>
      </c>
      <c r="K71" s="118">
        <f>D69*(I37*C10)/(C37*100)</f>
        <v>11482.939632545933</v>
      </c>
      <c r="L71" s="112"/>
      <c r="M71" s="142">
        <f>C17</f>
        <v>-1.8806752935127256</v>
      </c>
      <c r="N71" s="119" t="s">
        <v>57</v>
      </c>
      <c r="O71" s="120">
        <f>INDEX(MMULT(H71:K71,M70:M73),1,1)</f>
        <v>1566.5449435518276</v>
      </c>
      <c r="Z71" s="110">
        <f>F71</f>
        <v>6</v>
      </c>
      <c r="AA71" s="110">
        <f>$Z$71*100+AA69</f>
        <v>605</v>
      </c>
      <c r="AB71" s="110">
        <f>$Z$71*100+AB69</f>
        <v>606</v>
      </c>
      <c r="AC71" s="110">
        <f>$Z$71*100+AC69</f>
        <v>607</v>
      </c>
      <c r="AD71" s="110">
        <f>$Z$71*100+AD69</f>
        <v>608</v>
      </c>
    </row>
    <row r="72" spans="1:30" s="110" customFormat="1" x14ac:dyDescent="0.25">
      <c r="A72" s="111">
        <f>-(B69^2)*E69</f>
        <v>0</v>
      </c>
      <c r="B72" s="50">
        <f>-B69*D69*E69</f>
        <v>0</v>
      </c>
      <c r="C72" s="50">
        <f>E69*(B69^2)</f>
        <v>0</v>
      </c>
      <c r="D72" s="50">
        <f>B69*D69*E69</f>
        <v>0</v>
      </c>
      <c r="E72" s="112"/>
      <c r="F72" s="113">
        <v>7</v>
      </c>
      <c r="G72" s="109"/>
      <c r="H72" s="109"/>
      <c r="I72" s="109"/>
      <c r="J72" s="109"/>
      <c r="K72" s="109"/>
      <c r="L72" s="112"/>
      <c r="M72" s="142">
        <f>C18</f>
        <v>0.62689176450424189</v>
      </c>
      <c r="N72" s="116"/>
      <c r="O72" s="50"/>
      <c r="Z72" s="110">
        <f>F72</f>
        <v>7</v>
      </c>
      <c r="AA72" s="110">
        <f>$Z$72*100+AA69</f>
        <v>705</v>
      </c>
      <c r="AB72" s="110">
        <f>$Z$72*100+AB69</f>
        <v>706</v>
      </c>
      <c r="AC72" s="110">
        <f>$Z$72*100+AC69</f>
        <v>707</v>
      </c>
      <c r="AD72" s="110">
        <f>$Z$72*100+AD69</f>
        <v>708</v>
      </c>
    </row>
    <row r="73" spans="1:30" s="110" customFormat="1" ht="15.75" thickBot="1" x14ac:dyDescent="0.3">
      <c r="A73" s="121">
        <f>-B69*D69*E69</f>
        <v>0</v>
      </c>
      <c r="B73" s="122">
        <f>-(D69^2)*E69</f>
        <v>-11482.939632545933</v>
      </c>
      <c r="C73" s="122">
        <f>B69*D69*E69</f>
        <v>0</v>
      </c>
      <c r="D73" s="122">
        <f>E69*(D69^2)</f>
        <v>11482.939632545933</v>
      </c>
      <c r="E73" s="123"/>
      <c r="F73" s="113">
        <v>8</v>
      </c>
      <c r="G73" s="109"/>
      <c r="H73" s="109"/>
      <c r="I73" s="109"/>
      <c r="J73" s="109"/>
      <c r="K73" s="109"/>
      <c r="L73" s="112"/>
      <c r="M73" s="142">
        <f>C19</f>
        <v>-1.7442516081428405</v>
      </c>
      <c r="N73" s="116"/>
      <c r="O73" s="50"/>
      <c r="Z73" s="110">
        <f>F73</f>
        <v>8</v>
      </c>
      <c r="AA73" s="110">
        <f>$Z$73*100+AA69</f>
        <v>805</v>
      </c>
      <c r="AB73" s="110">
        <f>$Z$73*100+AB69</f>
        <v>806</v>
      </c>
      <c r="AC73" s="110">
        <f>$Z$73*100+AC69</f>
        <v>807</v>
      </c>
      <c r="AD73" s="110">
        <f>$Z$73*100+AD69</f>
        <v>808</v>
      </c>
    </row>
    <row r="74" spans="1:30" s="110" customFormat="1" ht="15.75" thickBot="1" x14ac:dyDescent="0.3">
      <c r="A74" s="110">
        <v>9</v>
      </c>
      <c r="B74" s="110">
        <v>10</v>
      </c>
      <c r="C74" s="110">
        <v>11</v>
      </c>
      <c r="D74" s="110">
        <v>12</v>
      </c>
    </row>
    <row r="75" spans="1:30" s="110" customFormat="1" x14ac:dyDescent="0.25">
      <c r="A75" s="105" t="s">
        <v>54</v>
      </c>
      <c r="B75" s="106">
        <f>(F38-D38)/C38</f>
        <v>0</v>
      </c>
      <c r="C75" s="107" t="s">
        <v>55</v>
      </c>
      <c r="D75" s="106">
        <f>(G38-E38)/C38</f>
        <v>1</v>
      </c>
      <c r="E75" s="108">
        <f>(I38*C11)/(C38*100)</f>
        <v>11482.939632545933</v>
      </c>
      <c r="F75" s="109"/>
      <c r="G75" s="109"/>
      <c r="H75" s="109"/>
      <c r="I75" s="109"/>
      <c r="J75" s="109"/>
      <c r="K75" s="109"/>
      <c r="L75" s="109"/>
      <c r="M75" s="109"/>
      <c r="N75" s="52"/>
      <c r="O75" s="109"/>
      <c r="AA75" s="110">
        <f>A74</f>
        <v>9</v>
      </c>
      <c r="AB75" s="110">
        <f>B74</f>
        <v>10</v>
      </c>
      <c r="AC75" s="110">
        <f>C74</f>
        <v>11</v>
      </c>
      <c r="AD75" s="110">
        <f>D74</f>
        <v>12</v>
      </c>
    </row>
    <row r="76" spans="1:30" s="110" customFormat="1" x14ac:dyDescent="0.25">
      <c r="A76" s="111">
        <f>E75*(B75^2)</f>
        <v>0</v>
      </c>
      <c r="B76" s="50">
        <f>E75*D75*B75</f>
        <v>0</v>
      </c>
      <c r="C76" s="50">
        <f>-A76</f>
        <v>0</v>
      </c>
      <c r="D76" s="50">
        <f>-B75*D75*E75</f>
        <v>0</v>
      </c>
      <c r="E76" s="112"/>
      <c r="F76" s="113">
        <v>9</v>
      </c>
      <c r="G76" s="109"/>
      <c r="H76" s="114">
        <f>A74</f>
        <v>9</v>
      </c>
      <c r="I76" s="114">
        <f>B74</f>
        <v>10</v>
      </c>
      <c r="J76" s="114">
        <f>C74</f>
        <v>11</v>
      </c>
      <c r="K76" s="114">
        <f>D74</f>
        <v>12</v>
      </c>
      <c r="L76" s="112"/>
      <c r="M76" s="115">
        <f>C20</f>
        <v>-0.88551444036555349</v>
      </c>
      <c r="N76" s="116"/>
      <c r="O76" s="109"/>
      <c r="Z76" s="110">
        <f>F76</f>
        <v>9</v>
      </c>
      <c r="AA76" s="110">
        <f>$Z$76*100+AA75</f>
        <v>909</v>
      </c>
      <c r="AB76" s="110">
        <f>$Z$76*100+AB75</f>
        <v>910</v>
      </c>
      <c r="AC76" s="110">
        <f>$Z$76*100+AC75</f>
        <v>911</v>
      </c>
      <c r="AD76" s="110">
        <f>$Z$76*100+AD75</f>
        <v>912</v>
      </c>
    </row>
    <row r="77" spans="1:30" s="110" customFormat="1" ht="15.75" x14ac:dyDescent="0.25">
      <c r="A77" s="111">
        <f>E75*B75*D75</f>
        <v>0</v>
      </c>
      <c r="B77" s="50">
        <f>E75*(D75^2)</f>
        <v>11482.939632545933</v>
      </c>
      <c r="C77" s="50">
        <f>-B75*D75*E75</f>
        <v>0</v>
      </c>
      <c r="D77" s="50">
        <f>-(D75^2)*E75</f>
        <v>-11482.939632545933</v>
      </c>
      <c r="E77" s="112">
        <v>6</v>
      </c>
      <c r="F77" s="113">
        <v>10</v>
      </c>
      <c r="G77" s="117" t="s">
        <v>88</v>
      </c>
      <c r="H77" s="114">
        <f>-B75*(I38*C11)/(C38*100)</f>
        <v>0</v>
      </c>
      <c r="I77" s="114">
        <f>-D75*(I38*C11)/(C38*100)</f>
        <v>-11482.939632545933</v>
      </c>
      <c r="J77" s="114">
        <f>B75*(I38*C11)/(C38*100)</f>
        <v>0</v>
      </c>
      <c r="K77" s="118">
        <f>D75*(I38*C11)/(C38*100)</f>
        <v>11482.939632545933</v>
      </c>
      <c r="L77" s="112"/>
      <c r="M77" s="142">
        <f>C21</f>
        <v>-3.9881532044932113</v>
      </c>
      <c r="N77" s="119" t="s">
        <v>57</v>
      </c>
      <c r="O77" s="120">
        <f>INDEX(MMULT(H77:K77,M76:M79),1,1)</f>
        <v>2030.2514254770722</v>
      </c>
      <c r="Z77" s="110">
        <f>F77</f>
        <v>10</v>
      </c>
      <c r="AA77" s="110">
        <f>$Z$77*100+AA75</f>
        <v>1009</v>
      </c>
      <c r="AB77" s="110">
        <f>$Z$77*100+AB75</f>
        <v>1010</v>
      </c>
      <c r="AC77" s="110">
        <f>$Z$77*100+AC75</f>
        <v>1011</v>
      </c>
      <c r="AD77" s="110">
        <f>$Z$77*100+AD75</f>
        <v>1012</v>
      </c>
    </row>
    <row r="78" spans="1:30" s="110" customFormat="1" x14ac:dyDescent="0.25">
      <c r="A78" s="111">
        <f>-(B75^2)*E75</f>
        <v>0</v>
      </c>
      <c r="B78" s="50">
        <f>-B75*D75*E75</f>
        <v>0</v>
      </c>
      <c r="C78" s="50">
        <f>E75*(B75^2)</f>
        <v>0</v>
      </c>
      <c r="D78" s="50">
        <f>B75*D75*E75</f>
        <v>0</v>
      </c>
      <c r="E78" s="112"/>
      <c r="F78" s="113">
        <v>11</v>
      </c>
      <c r="G78" s="109"/>
      <c r="H78" s="109"/>
      <c r="I78" s="109"/>
      <c r="J78" s="109"/>
      <c r="K78" s="109"/>
      <c r="L78" s="112"/>
      <c r="M78" s="142">
        <f>C22</f>
        <v>0.80369766007150234</v>
      </c>
      <c r="N78" s="116"/>
      <c r="O78" s="50"/>
      <c r="Z78" s="110">
        <f>F78</f>
        <v>11</v>
      </c>
      <c r="AA78" s="110">
        <f>$Z$78*100+AA75</f>
        <v>1109</v>
      </c>
      <c r="AB78" s="110">
        <f>$Z$78*100+AB75</f>
        <v>1110</v>
      </c>
      <c r="AC78" s="110">
        <f>$Z$78*100+AC75</f>
        <v>1111</v>
      </c>
      <c r="AD78" s="110">
        <f>$Z$78*100+AD75</f>
        <v>1112</v>
      </c>
    </row>
    <row r="79" spans="1:30" s="110" customFormat="1" ht="15.75" thickBot="1" x14ac:dyDescent="0.3">
      <c r="A79" s="121">
        <f>-B75*D75*E75</f>
        <v>0</v>
      </c>
      <c r="B79" s="122">
        <f>-(D75^2)*E75</f>
        <v>-11482.939632545933</v>
      </c>
      <c r="C79" s="122">
        <f>B75*D75*E75</f>
        <v>0</v>
      </c>
      <c r="D79" s="122">
        <f>E75*(D75^2)</f>
        <v>11482.939632545933</v>
      </c>
      <c r="E79" s="123"/>
      <c r="F79" s="113">
        <v>12</v>
      </c>
      <c r="G79" s="109"/>
      <c r="H79" s="109"/>
      <c r="I79" s="109"/>
      <c r="J79" s="109"/>
      <c r="K79" s="109"/>
      <c r="L79" s="112"/>
      <c r="M79" s="142">
        <f>C23</f>
        <v>-3.8113473089259511</v>
      </c>
      <c r="N79" s="116"/>
      <c r="O79" s="50"/>
      <c r="Z79" s="110">
        <f>F79</f>
        <v>12</v>
      </c>
      <c r="AA79" s="110">
        <f>$Z$79*100+AA75</f>
        <v>1209</v>
      </c>
      <c r="AB79" s="110">
        <f>$Z$79*100+AB75</f>
        <v>1210</v>
      </c>
      <c r="AC79" s="110">
        <f>$Z$79*100+AC75</f>
        <v>1211</v>
      </c>
      <c r="AD79" s="110">
        <f>$Z$79*100+AD75</f>
        <v>1212</v>
      </c>
    </row>
    <row r="80" spans="1:30" s="110" customFormat="1" ht="15.75" thickBot="1" x14ac:dyDescent="0.3">
      <c r="A80" s="110">
        <v>5</v>
      </c>
      <c r="B80" s="110">
        <v>6</v>
      </c>
      <c r="C80" s="110">
        <v>3</v>
      </c>
      <c r="D80" s="110">
        <v>4</v>
      </c>
    </row>
    <row r="81" spans="1:30" s="110" customFormat="1" x14ac:dyDescent="0.25">
      <c r="A81" s="105" t="s">
        <v>54</v>
      </c>
      <c r="B81" s="106">
        <f>(F39-D39)/C39</f>
        <v>-0.70710678118654757</v>
      </c>
      <c r="C81" s="107" t="s">
        <v>55</v>
      </c>
      <c r="D81" s="106">
        <f>(G39-E39)/C39</f>
        <v>0.70710678118654757</v>
      </c>
      <c r="E81" s="108">
        <f>(I39*C12)/(C39*100)</f>
        <v>8715.5499432672677</v>
      </c>
      <c r="F81" s="109"/>
      <c r="G81" s="109"/>
      <c r="H81" s="109"/>
      <c r="I81" s="109"/>
      <c r="J81" s="109"/>
      <c r="K81" s="109"/>
      <c r="L81" s="109"/>
      <c r="M81" s="109"/>
      <c r="N81" s="52"/>
      <c r="O81" s="109"/>
      <c r="AA81" s="110">
        <f>A80</f>
        <v>5</v>
      </c>
      <c r="AB81" s="110">
        <f>B80</f>
        <v>6</v>
      </c>
      <c r="AC81" s="110">
        <f>C80</f>
        <v>3</v>
      </c>
      <c r="AD81" s="110">
        <f>D80</f>
        <v>4</v>
      </c>
    </row>
    <row r="82" spans="1:30" s="110" customFormat="1" x14ac:dyDescent="0.25">
      <c r="A82" s="111">
        <f>E81*(B81^2)</f>
        <v>4357.7749716336348</v>
      </c>
      <c r="B82" s="50">
        <f>E81*D81*B81</f>
        <v>-4357.7749716336348</v>
      </c>
      <c r="C82" s="50">
        <f>-A82</f>
        <v>-4357.7749716336348</v>
      </c>
      <c r="D82" s="50">
        <f>-B81*D81*E81</f>
        <v>4357.7749716336348</v>
      </c>
      <c r="E82" s="112"/>
      <c r="F82" s="113">
        <v>5</v>
      </c>
      <c r="G82" s="109"/>
      <c r="H82" s="114">
        <f>A80</f>
        <v>5</v>
      </c>
      <c r="I82" s="114">
        <f>B80</f>
        <v>6</v>
      </c>
      <c r="J82" s="114">
        <f>C80</f>
        <v>3</v>
      </c>
      <c r="K82" s="114">
        <f>D80</f>
        <v>4</v>
      </c>
      <c r="L82" s="112"/>
      <c r="M82" s="142">
        <f>C16</f>
        <v>-0.62689176450424189</v>
      </c>
      <c r="N82" s="116"/>
      <c r="O82" s="109"/>
      <c r="Z82" s="110">
        <f>F82</f>
        <v>5</v>
      </c>
      <c r="AA82" s="110">
        <f>$Z$82*100+AA81</f>
        <v>505</v>
      </c>
      <c r="AB82" s="110">
        <f>$Z$82*100+AB81</f>
        <v>506</v>
      </c>
      <c r="AC82" s="110">
        <f>$Z$82*100+AC81</f>
        <v>503</v>
      </c>
      <c r="AD82" s="110">
        <f>$Z$82*100+AD81</f>
        <v>504</v>
      </c>
    </row>
    <row r="83" spans="1:30" s="110" customFormat="1" ht="15.75" x14ac:dyDescent="0.25">
      <c r="A83" s="111">
        <f>E81*B81*D81</f>
        <v>-4357.7749716336348</v>
      </c>
      <c r="B83" s="50">
        <f>E81*(D81^2)</f>
        <v>4357.7749716336348</v>
      </c>
      <c r="C83" s="50">
        <f>-B81*D81*E81</f>
        <v>4357.7749716336348</v>
      </c>
      <c r="D83" s="50">
        <f>-(D81^2)*E81</f>
        <v>-4357.7749716336348</v>
      </c>
      <c r="E83" s="112">
        <v>7</v>
      </c>
      <c r="F83" s="113">
        <v>6</v>
      </c>
      <c r="G83" s="117" t="s">
        <v>89</v>
      </c>
      <c r="H83" s="114">
        <f>-B81*(I39*C12)/(C39*100)</f>
        <v>6162.8244666543151</v>
      </c>
      <c r="I83" s="114">
        <f>-D81*(I39*C12)/(C39*100)</f>
        <v>-6162.8244666543151</v>
      </c>
      <c r="J83" s="114">
        <f>B81*(I39*C12)/(C39*100)</f>
        <v>-6162.8244666543151</v>
      </c>
      <c r="K83" s="118">
        <f>D81*(I39*C12)/(C39*100)</f>
        <v>6162.8244666543151</v>
      </c>
      <c r="L83" s="112"/>
      <c r="M83" s="142">
        <f>C17</f>
        <v>-1.8806752935127256</v>
      </c>
      <c r="N83" s="119" t="s">
        <v>57</v>
      </c>
      <c r="O83" s="120">
        <f>INDEX(MMULT(H83:K83,M82:M85),1,1)</f>
        <v>7726.8478084616745</v>
      </c>
      <c r="Z83" s="110">
        <f>F83</f>
        <v>6</v>
      </c>
      <c r="AA83" s="110">
        <f>$Z$83*100+AA81</f>
        <v>605</v>
      </c>
      <c r="AB83" s="110">
        <f>$Z$83*100+AB81</f>
        <v>606</v>
      </c>
      <c r="AC83" s="110">
        <f>$Z$83*100+AC81</f>
        <v>603</v>
      </c>
      <c r="AD83" s="110">
        <f>$Z$83*100+AD81</f>
        <v>604</v>
      </c>
    </row>
    <row r="84" spans="1:30" s="110" customFormat="1" x14ac:dyDescent="0.25">
      <c r="A84" s="111">
        <f>-(B81^2)*E81</f>
        <v>-4357.7749716336348</v>
      </c>
      <c r="B84" s="50">
        <f>-B81*D81*E81</f>
        <v>4357.7749716336348</v>
      </c>
      <c r="C84" s="50">
        <f>E81*(B81^2)</f>
        <v>4357.7749716336348</v>
      </c>
      <c r="D84" s="50">
        <f>B81*D81*E81</f>
        <v>-4357.7749716336348</v>
      </c>
      <c r="E84" s="112"/>
      <c r="F84" s="113">
        <v>3</v>
      </c>
      <c r="G84" s="109"/>
      <c r="H84" s="109"/>
      <c r="I84" s="109"/>
      <c r="J84" s="109"/>
      <c r="K84" s="109"/>
      <c r="L84" s="112"/>
      <c r="M84" s="115">
        <v>0</v>
      </c>
      <c r="N84" s="116"/>
      <c r="O84" s="50"/>
      <c r="Z84" s="110">
        <f>F84</f>
        <v>3</v>
      </c>
      <c r="AA84" s="110">
        <f>$Z$84*100+AA81</f>
        <v>305</v>
      </c>
      <c r="AB84" s="110">
        <f>$Z$84*100+AB81</f>
        <v>306</v>
      </c>
      <c r="AC84" s="110">
        <f>$Z$84*100+AC81</f>
        <v>303</v>
      </c>
      <c r="AD84" s="110">
        <f>$Z$84*100+AD81</f>
        <v>304</v>
      </c>
    </row>
    <row r="85" spans="1:30" s="110" customFormat="1" ht="15.75" thickBot="1" x14ac:dyDescent="0.3">
      <c r="A85" s="121">
        <f>-B81*D81*E81</f>
        <v>4357.7749716336348</v>
      </c>
      <c r="B85" s="122">
        <f>-(D81^2)*E81</f>
        <v>-4357.7749716336348</v>
      </c>
      <c r="C85" s="122">
        <f>B81*D81*E81</f>
        <v>-4357.7749716336348</v>
      </c>
      <c r="D85" s="122">
        <f>E81*(D81^2)</f>
        <v>4357.7749716336348</v>
      </c>
      <c r="E85" s="123"/>
      <c r="F85" s="113">
        <v>4</v>
      </c>
      <c r="G85" s="109"/>
      <c r="H85" s="109"/>
      <c r="I85" s="109"/>
      <c r="J85" s="109"/>
      <c r="K85" s="109"/>
      <c r="L85" s="112"/>
      <c r="M85" s="115">
        <v>0</v>
      </c>
      <c r="N85" s="116"/>
      <c r="O85" s="50"/>
      <c r="Z85" s="110">
        <f>F85</f>
        <v>4</v>
      </c>
      <c r="AA85" s="110">
        <f>$Z$85*100+AA81</f>
        <v>405</v>
      </c>
      <c r="AB85" s="110">
        <f>$Z$85*100+AB81</f>
        <v>406</v>
      </c>
      <c r="AC85" s="110">
        <f>$Z$85*100+AC81</f>
        <v>403</v>
      </c>
      <c r="AD85" s="110">
        <f>$Z$85*100+AD81</f>
        <v>404</v>
      </c>
    </row>
    <row r="86" spans="1:30" s="110" customFormat="1" ht="15.75" thickBot="1" x14ac:dyDescent="0.3">
      <c r="A86" s="110">
        <v>1</v>
      </c>
      <c r="B86" s="110">
        <v>2</v>
      </c>
      <c r="C86" s="110">
        <v>7</v>
      </c>
      <c r="D86" s="110">
        <v>8</v>
      </c>
    </row>
    <row r="87" spans="1:30" s="110" customFormat="1" x14ac:dyDescent="0.25">
      <c r="A87" s="105" t="s">
        <v>54</v>
      </c>
      <c r="B87" s="106">
        <f>(F40-D40)/C40</f>
        <v>0.70710678118654757</v>
      </c>
      <c r="C87" s="107" t="s">
        <v>55</v>
      </c>
      <c r="D87" s="106">
        <f>(G40-E40)/C40</f>
        <v>0.70710678118654757</v>
      </c>
      <c r="E87" s="108">
        <f>(I40*C13)/(C40*100)</f>
        <v>8119.664482128991</v>
      </c>
      <c r="F87" s="109"/>
      <c r="G87" s="109"/>
      <c r="H87" s="109"/>
      <c r="I87" s="109"/>
      <c r="J87" s="109"/>
      <c r="K87" s="109"/>
      <c r="L87" s="109"/>
      <c r="M87" s="109"/>
      <c r="N87" s="52"/>
      <c r="O87" s="109"/>
      <c r="AA87" s="110">
        <f>A86</f>
        <v>1</v>
      </c>
      <c r="AB87" s="110">
        <f>B86</f>
        <v>2</v>
      </c>
      <c r="AC87" s="110">
        <f>C86</f>
        <v>7</v>
      </c>
      <c r="AD87" s="110">
        <f>D86</f>
        <v>8</v>
      </c>
    </row>
    <row r="88" spans="1:30" s="110" customFormat="1" x14ac:dyDescent="0.25">
      <c r="A88" s="111">
        <f>E87*(B87^2)</f>
        <v>4059.8322410644964</v>
      </c>
      <c r="B88" s="50">
        <f>E87*D87*B87</f>
        <v>4059.832241064496</v>
      </c>
      <c r="C88" s="50">
        <f>-A88</f>
        <v>-4059.8322410644964</v>
      </c>
      <c r="D88" s="50">
        <f>-B87*D87*E87</f>
        <v>-4059.8322410644964</v>
      </c>
      <c r="E88" s="112"/>
      <c r="F88" s="113">
        <v>1</v>
      </c>
      <c r="G88" s="109"/>
      <c r="H88" s="114">
        <f>A86</f>
        <v>1</v>
      </c>
      <c r="I88" s="114">
        <f>B86</f>
        <v>2</v>
      </c>
      <c r="J88" s="114">
        <f>C86</f>
        <v>7</v>
      </c>
      <c r="K88" s="114">
        <f>D86</f>
        <v>8</v>
      </c>
      <c r="L88" s="112"/>
      <c r="M88" s="115">
        <v>0</v>
      </c>
      <c r="N88" s="116"/>
      <c r="O88" s="109"/>
      <c r="Z88" s="110">
        <f>F88</f>
        <v>1</v>
      </c>
      <c r="AA88" s="110">
        <f>$Z$88*100+AA87</f>
        <v>101</v>
      </c>
      <c r="AB88" s="110">
        <f>$Z$88*100+AB87</f>
        <v>102</v>
      </c>
      <c r="AC88" s="110">
        <f>$Z$88*100+AC87</f>
        <v>107</v>
      </c>
      <c r="AD88" s="110">
        <f>$Z$88*100+AD87</f>
        <v>108</v>
      </c>
    </row>
    <row r="89" spans="1:30" s="110" customFormat="1" ht="15.75" x14ac:dyDescent="0.25">
      <c r="A89" s="111">
        <f>E87*B87*D87</f>
        <v>4059.832241064496</v>
      </c>
      <c r="B89" s="50">
        <f>E87*(D87^2)</f>
        <v>4059.8322410644964</v>
      </c>
      <c r="C89" s="50">
        <f>-B87*D87*E87</f>
        <v>-4059.8322410644964</v>
      </c>
      <c r="D89" s="50">
        <f>-(D87^2)*E87</f>
        <v>-4059.8322410644964</v>
      </c>
      <c r="E89" s="112">
        <v>8</v>
      </c>
      <c r="F89" s="113">
        <v>2</v>
      </c>
      <c r="G89" s="117" t="s">
        <v>90</v>
      </c>
      <c r="H89" s="114">
        <f>-B87*(I40*C13)/(C40*100)</f>
        <v>-5741.4698162729665</v>
      </c>
      <c r="I89" s="114">
        <f>-D87*(I40*C13)/(C40*100)</f>
        <v>-5741.4698162729665</v>
      </c>
      <c r="J89" s="114">
        <f>B87*(I40*C13)/(C40*100)</f>
        <v>5741.4698162729665</v>
      </c>
      <c r="K89" s="118">
        <f>D87*(I40*C13)/(C40*100)</f>
        <v>5741.4698162729665</v>
      </c>
      <c r="L89" s="112"/>
      <c r="M89" s="115">
        <v>0</v>
      </c>
      <c r="N89" s="119" t="s">
        <v>57</v>
      </c>
      <c r="O89" s="120">
        <f>INDEX(MMULT(H89:K89,M88:M91),1,1)</f>
        <v>-6415.2878161664958</v>
      </c>
      <c r="Z89" s="110">
        <f>F89</f>
        <v>2</v>
      </c>
      <c r="AA89" s="110">
        <f>$Z$89*100+AA87</f>
        <v>201</v>
      </c>
      <c r="AB89" s="110">
        <f>$Z$89*100+AB87</f>
        <v>202</v>
      </c>
      <c r="AC89" s="110">
        <f>$Z$89*100+AC87</f>
        <v>207</v>
      </c>
      <c r="AD89" s="110">
        <f>$Z$89*100+AD87</f>
        <v>208</v>
      </c>
    </row>
    <row r="90" spans="1:30" s="110" customFormat="1" x14ac:dyDescent="0.25">
      <c r="A90" s="111">
        <f>-(B87^2)*E87</f>
        <v>-4059.8322410644964</v>
      </c>
      <c r="B90" s="50">
        <f>-B87*D87*E87</f>
        <v>-4059.8322410644964</v>
      </c>
      <c r="C90" s="50">
        <f>E87*(B87^2)</f>
        <v>4059.8322410644964</v>
      </c>
      <c r="D90" s="50">
        <f>B87*D87*E87</f>
        <v>4059.8322410644964</v>
      </c>
      <c r="E90" s="112"/>
      <c r="F90" s="113">
        <v>7</v>
      </c>
      <c r="G90" s="109"/>
      <c r="H90" s="109"/>
      <c r="I90" s="109"/>
      <c r="J90" s="109"/>
      <c r="K90" s="109"/>
      <c r="L90" s="112"/>
      <c r="M90" s="142">
        <f>C18</f>
        <v>0.62689176450424189</v>
      </c>
      <c r="N90" s="116"/>
      <c r="O90" s="50"/>
      <c r="Z90" s="110">
        <f>F90</f>
        <v>7</v>
      </c>
      <c r="AA90" s="110">
        <f>$Z$90*100+AA87</f>
        <v>701</v>
      </c>
      <c r="AB90" s="110">
        <f>$Z$90*100+AB87</f>
        <v>702</v>
      </c>
      <c r="AC90" s="110">
        <f>$Z$90*100+AC87</f>
        <v>707</v>
      </c>
      <c r="AD90" s="110">
        <f>$Z$90*100+AD87</f>
        <v>708</v>
      </c>
    </row>
    <row r="91" spans="1:30" s="110" customFormat="1" ht="15.75" thickBot="1" x14ac:dyDescent="0.3">
      <c r="A91" s="121">
        <f>-B87*D87*E87</f>
        <v>-4059.8322410644964</v>
      </c>
      <c r="B91" s="122">
        <f>-(D87^2)*E87</f>
        <v>-4059.8322410644964</v>
      </c>
      <c r="C91" s="122">
        <f>B87*D87*E87</f>
        <v>4059.8322410644964</v>
      </c>
      <c r="D91" s="122">
        <f>E87*(D87^2)</f>
        <v>4059.8322410644964</v>
      </c>
      <c r="E91" s="123"/>
      <c r="F91" s="113">
        <v>8</v>
      </c>
      <c r="G91" s="109"/>
      <c r="H91" s="109"/>
      <c r="I91" s="109"/>
      <c r="J91" s="109"/>
      <c r="K91" s="109"/>
      <c r="L91" s="112"/>
      <c r="M91" s="142">
        <f>C19</f>
        <v>-1.7442516081428405</v>
      </c>
      <c r="N91" s="116"/>
      <c r="O91" s="50"/>
      <c r="Z91" s="110">
        <f>F91</f>
        <v>8</v>
      </c>
      <c r="AA91" s="110">
        <f>$Z$91*100+AA87</f>
        <v>801</v>
      </c>
      <c r="AB91" s="110">
        <f>$Z$91*100+AB87</f>
        <v>802</v>
      </c>
      <c r="AC91" s="110">
        <f>$Z$91*100+AC87</f>
        <v>807</v>
      </c>
      <c r="AD91" s="110">
        <f>$Z$91*100+AD87</f>
        <v>808</v>
      </c>
    </row>
    <row r="92" spans="1:30" s="110" customFormat="1" ht="15.75" thickBot="1" x14ac:dyDescent="0.3">
      <c r="A92" s="110">
        <v>9</v>
      </c>
      <c r="B92" s="110">
        <v>10</v>
      </c>
      <c r="C92" s="110">
        <v>7</v>
      </c>
      <c r="D92" s="110">
        <v>8</v>
      </c>
    </row>
    <row r="93" spans="1:30" s="110" customFormat="1" x14ac:dyDescent="0.25">
      <c r="A93" s="105" t="s">
        <v>54</v>
      </c>
      <c r="B93" s="106">
        <f>(F41-D41)/C41</f>
        <v>-0.70710678118654757</v>
      </c>
      <c r="C93" s="107" t="s">
        <v>55</v>
      </c>
      <c r="D93" s="106">
        <f>(G41-E41)/C41</f>
        <v>0.70710678118654757</v>
      </c>
      <c r="E93" s="108">
        <f>(I41*C14)/(C41*100)</f>
        <v>8119.664482128991</v>
      </c>
      <c r="F93" s="109"/>
      <c r="G93" s="109"/>
      <c r="H93" s="109"/>
      <c r="I93" s="109"/>
      <c r="J93" s="109"/>
      <c r="K93" s="109"/>
      <c r="L93" s="109"/>
      <c r="M93" s="109"/>
      <c r="N93" s="52"/>
      <c r="O93" s="109"/>
      <c r="AA93" s="110">
        <f>A92</f>
        <v>9</v>
      </c>
      <c r="AB93" s="110">
        <f>B92</f>
        <v>10</v>
      </c>
      <c r="AC93" s="110">
        <f>C92</f>
        <v>7</v>
      </c>
      <c r="AD93" s="110">
        <f>D92</f>
        <v>8</v>
      </c>
    </row>
    <row r="94" spans="1:30" s="110" customFormat="1" x14ac:dyDescent="0.25">
      <c r="A94" s="111">
        <f>E93*(B93^2)</f>
        <v>4059.8322410644964</v>
      </c>
      <c r="B94" s="50">
        <f>E93*D93*B93</f>
        <v>-4059.832241064496</v>
      </c>
      <c r="C94" s="50">
        <f>-A94</f>
        <v>-4059.8322410644964</v>
      </c>
      <c r="D94" s="50">
        <f>-B93*D93*E93</f>
        <v>4059.8322410644964</v>
      </c>
      <c r="E94" s="112"/>
      <c r="F94" s="113">
        <v>9</v>
      </c>
      <c r="G94" s="109"/>
      <c r="H94" s="114">
        <f>A92</f>
        <v>9</v>
      </c>
      <c r="I94" s="114">
        <f>B92</f>
        <v>10</v>
      </c>
      <c r="J94" s="114">
        <f>C92</f>
        <v>7</v>
      </c>
      <c r="K94" s="114">
        <f>D92</f>
        <v>8</v>
      </c>
      <c r="L94" s="112"/>
      <c r="M94" s="115">
        <f>C20</f>
        <v>-0.88551444036555349</v>
      </c>
      <c r="N94" s="116"/>
      <c r="O94" s="109"/>
      <c r="Z94" s="110">
        <f>F94</f>
        <v>9</v>
      </c>
      <c r="AA94" s="110">
        <f>$Z$94*100+AA93</f>
        <v>909</v>
      </c>
      <c r="AB94" s="110">
        <f>$Z$94*100+AB93</f>
        <v>910</v>
      </c>
      <c r="AC94" s="110">
        <f>$Z$94*100+AC93</f>
        <v>907</v>
      </c>
      <c r="AD94" s="110">
        <f>$Z$94*100+AD93</f>
        <v>908</v>
      </c>
    </row>
    <row r="95" spans="1:30" s="110" customFormat="1" ht="15.75" x14ac:dyDescent="0.25">
      <c r="A95" s="111">
        <f>E93*B93*D93</f>
        <v>-4059.832241064496</v>
      </c>
      <c r="B95" s="50">
        <f>E93*(D93^2)</f>
        <v>4059.8322410644964</v>
      </c>
      <c r="C95" s="50">
        <f>-B93*D93*E93</f>
        <v>4059.8322410644964</v>
      </c>
      <c r="D95" s="50">
        <f>-(D93^2)*E93</f>
        <v>-4059.8322410644964</v>
      </c>
      <c r="E95" s="112">
        <v>9</v>
      </c>
      <c r="F95" s="113">
        <v>10</v>
      </c>
      <c r="G95" s="117" t="s">
        <v>91</v>
      </c>
      <c r="H95" s="114">
        <f>-B93*(I41*C14)/(C41*100)</f>
        <v>5741.4698162729665</v>
      </c>
      <c r="I95" s="114">
        <f>-D93*(I41*C14)/(C41*100)</f>
        <v>-5741.4698162729665</v>
      </c>
      <c r="J95" s="114">
        <f>B93*(I41*C14)/(C41*100)</f>
        <v>-5741.4698162729665</v>
      </c>
      <c r="K95" s="118">
        <f>D93*(I41*C14)/(C41*100)</f>
        <v>5741.4698162729665</v>
      </c>
      <c r="L95" s="112"/>
      <c r="M95" s="142">
        <f>C21</f>
        <v>-3.9881532044932113</v>
      </c>
      <c r="N95" s="119" t="s">
        <v>57</v>
      </c>
      <c r="O95" s="120">
        <f>INDEX(MMULT(H95:K95,M94:M97),1,1)</f>
        <v>4199.8587109284999</v>
      </c>
      <c r="Z95" s="110">
        <f>F95</f>
        <v>10</v>
      </c>
      <c r="AA95" s="110">
        <f>$Z$95*100+AA93</f>
        <v>1009</v>
      </c>
      <c r="AB95" s="110">
        <f>$Z$95*100+AB93</f>
        <v>1010</v>
      </c>
      <c r="AC95" s="110">
        <f>$Z$95*100+AC93</f>
        <v>1007</v>
      </c>
      <c r="AD95" s="110">
        <f>$Z$95*100+AD93</f>
        <v>1008</v>
      </c>
    </row>
    <row r="96" spans="1:30" s="110" customFormat="1" x14ac:dyDescent="0.25">
      <c r="A96" s="111">
        <f>-(B93^2)*E93</f>
        <v>-4059.8322410644964</v>
      </c>
      <c r="B96" s="50">
        <f>-B93*D93*E93</f>
        <v>4059.8322410644964</v>
      </c>
      <c r="C96" s="50">
        <f>E93*(B93^2)</f>
        <v>4059.8322410644964</v>
      </c>
      <c r="D96" s="50">
        <f>B93*D93*E93</f>
        <v>-4059.8322410644964</v>
      </c>
      <c r="E96" s="112"/>
      <c r="F96" s="113">
        <v>7</v>
      </c>
      <c r="G96" s="109"/>
      <c r="H96" s="109"/>
      <c r="I96" s="109"/>
      <c r="J96" s="109"/>
      <c r="K96" s="109"/>
      <c r="L96" s="112"/>
      <c r="M96" s="142">
        <f>C18</f>
        <v>0.62689176450424189</v>
      </c>
      <c r="N96" s="116"/>
      <c r="O96" s="50"/>
      <c r="Z96" s="110">
        <f>F96</f>
        <v>7</v>
      </c>
      <c r="AA96" s="110">
        <f>$Z$96*100+AA93</f>
        <v>709</v>
      </c>
      <c r="AB96" s="110">
        <f>$Z$96*100+AB93</f>
        <v>710</v>
      </c>
      <c r="AC96" s="110">
        <f>$Z$96*100+AC93</f>
        <v>707</v>
      </c>
      <c r="AD96" s="110">
        <f>$Z$96*100+AD93</f>
        <v>708</v>
      </c>
    </row>
    <row r="97" spans="1:30" s="110" customFormat="1" ht="15.75" thickBot="1" x14ac:dyDescent="0.3">
      <c r="A97" s="121">
        <f>-B93*D93*E93</f>
        <v>4059.8322410644964</v>
      </c>
      <c r="B97" s="122">
        <f>-(D93^2)*E93</f>
        <v>-4059.8322410644964</v>
      </c>
      <c r="C97" s="122">
        <f>B93*D93*E93</f>
        <v>-4059.8322410644964</v>
      </c>
      <c r="D97" s="122">
        <f>E93*(D93^2)</f>
        <v>4059.8322410644964</v>
      </c>
      <c r="E97" s="123"/>
      <c r="F97" s="113">
        <v>8</v>
      </c>
      <c r="G97" s="109"/>
      <c r="H97" s="109"/>
      <c r="I97" s="109"/>
      <c r="J97" s="109"/>
      <c r="K97" s="109"/>
      <c r="L97" s="112"/>
      <c r="M97" s="142">
        <f>C19</f>
        <v>-1.7442516081428405</v>
      </c>
      <c r="N97" s="116"/>
      <c r="O97" s="50"/>
      <c r="Z97" s="110">
        <f>F97</f>
        <v>8</v>
      </c>
      <c r="AA97" s="110">
        <f>$Z$97*100+AA93</f>
        <v>809</v>
      </c>
      <c r="AB97" s="110">
        <f>$Z$97*100+AB93</f>
        <v>810</v>
      </c>
      <c r="AC97" s="110">
        <f>$Z$97*100+AC93</f>
        <v>807</v>
      </c>
      <c r="AD97" s="110">
        <f>$Z$97*100+AD93</f>
        <v>808</v>
      </c>
    </row>
    <row r="98" spans="1:30" s="110" customFormat="1" ht="15.75" thickBot="1" x14ac:dyDescent="0.3">
      <c r="A98" s="110">
        <v>5</v>
      </c>
      <c r="B98" s="110">
        <v>6</v>
      </c>
      <c r="C98" s="110">
        <v>11</v>
      </c>
      <c r="D98" s="110">
        <v>12</v>
      </c>
    </row>
    <row r="99" spans="1:30" s="110" customFormat="1" x14ac:dyDescent="0.25">
      <c r="A99" s="105" t="s">
        <v>54</v>
      </c>
      <c r="B99" s="106">
        <f>(G42-E42)/C42</f>
        <v>0.70710678118654757</v>
      </c>
      <c r="C99" s="107" t="s">
        <v>55</v>
      </c>
      <c r="D99" s="106">
        <f>(G42-E42)/C42</f>
        <v>0.70710678118654757</v>
      </c>
      <c r="E99" s="108">
        <f>(I42*C15)/(C42*100)</f>
        <v>8119.664482128991</v>
      </c>
      <c r="F99" s="109"/>
      <c r="G99" s="109"/>
      <c r="H99" s="109"/>
      <c r="I99" s="109"/>
      <c r="J99" s="109"/>
      <c r="K99" s="109"/>
      <c r="L99" s="109"/>
      <c r="M99" s="109"/>
      <c r="N99" s="52"/>
      <c r="O99" s="109"/>
      <c r="AA99" s="110">
        <f>A98</f>
        <v>5</v>
      </c>
      <c r="AB99" s="110">
        <f>B98</f>
        <v>6</v>
      </c>
      <c r="AC99" s="110">
        <f>C98</f>
        <v>11</v>
      </c>
      <c r="AD99" s="110">
        <f>D98</f>
        <v>12</v>
      </c>
    </row>
    <row r="100" spans="1:30" s="110" customFormat="1" x14ac:dyDescent="0.25">
      <c r="A100" s="111">
        <f>E99*(B99^2)</f>
        <v>4059.8322410644964</v>
      </c>
      <c r="B100" s="50">
        <f>E99*D99*B99</f>
        <v>4059.832241064496</v>
      </c>
      <c r="C100" s="50">
        <f>-A100</f>
        <v>-4059.8322410644964</v>
      </c>
      <c r="D100" s="50">
        <f>-B99*D99*E99</f>
        <v>-4059.8322410644964</v>
      </c>
      <c r="E100" s="112"/>
      <c r="F100" s="113">
        <v>5</v>
      </c>
      <c r="G100" s="109"/>
      <c r="H100" s="114">
        <f>A98</f>
        <v>5</v>
      </c>
      <c r="I100" s="114">
        <f>B98</f>
        <v>6</v>
      </c>
      <c r="J100" s="114">
        <f>C98</f>
        <v>11</v>
      </c>
      <c r="K100" s="114">
        <f>D98</f>
        <v>12</v>
      </c>
      <c r="L100" s="112"/>
      <c r="M100" s="142">
        <f>C16</f>
        <v>-0.62689176450424189</v>
      </c>
      <c r="N100" s="116"/>
      <c r="O100" s="109"/>
      <c r="Z100" s="110">
        <f>F100</f>
        <v>5</v>
      </c>
      <c r="AA100" s="110">
        <f>$Z$100*100+AA99</f>
        <v>505</v>
      </c>
      <c r="AB100" s="110">
        <f>$Z$100*100+AB99</f>
        <v>506</v>
      </c>
      <c r="AC100" s="110">
        <f>$Z$100*100+AC99</f>
        <v>511</v>
      </c>
      <c r="AD100" s="110">
        <f>$Z$100*100+AD99</f>
        <v>512</v>
      </c>
    </row>
    <row r="101" spans="1:30" s="110" customFormat="1" ht="15.75" x14ac:dyDescent="0.25">
      <c r="A101" s="111">
        <f>E99*B99*D99</f>
        <v>4059.832241064496</v>
      </c>
      <c r="B101" s="50">
        <f>E99*(D99^2)</f>
        <v>4059.8322410644964</v>
      </c>
      <c r="C101" s="50">
        <f>-B99*D99*E99</f>
        <v>-4059.8322410644964</v>
      </c>
      <c r="D101" s="50">
        <f>-(D99^2)*E99</f>
        <v>-4059.8322410644964</v>
      </c>
      <c r="E101" s="112">
        <v>10</v>
      </c>
      <c r="F101" s="113">
        <v>6</v>
      </c>
      <c r="G101" s="117" t="s">
        <v>92</v>
      </c>
      <c r="H101" s="114">
        <f>-B99*(I42*C15)/(C42*100)</f>
        <v>-5741.4698162729665</v>
      </c>
      <c r="I101" s="114">
        <f>-D99*(I42*C15)/(C42*100)</f>
        <v>-5741.4698162729665</v>
      </c>
      <c r="J101" s="114">
        <f>B99*(I42*C15)/(C42*100)</f>
        <v>5741.4698162729665</v>
      </c>
      <c r="K101" s="118">
        <f>D99*(I42*C15)/(C42*100)</f>
        <v>5741.4698162729665</v>
      </c>
      <c r="L101" s="112"/>
      <c r="M101" s="142">
        <f>C17</f>
        <v>-1.8806752935127256</v>
      </c>
      <c r="N101" s="119" t="s">
        <v>57</v>
      </c>
      <c r="O101" s="120">
        <f>INDEX(MMULT(H101:K101,M100:M103),1,1)</f>
        <v>-2871.2091009369833</v>
      </c>
      <c r="Z101" s="110">
        <f>F101</f>
        <v>6</v>
      </c>
      <c r="AA101" s="110">
        <f>$Z$101*100+AA99</f>
        <v>605</v>
      </c>
      <c r="AB101" s="110">
        <f>$Z$101*100+AB99</f>
        <v>606</v>
      </c>
      <c r="AC101" s="110">
        <f>$Z$101*100+AC99</f>
        <v>611</v>
      </c>
      <c r="AD101" s="110">
        <f>$Z$101*100+AD99</f>
        <v>612</v>
      </c>
    </row>
    <row r="102" spans="1:30" s="110" customFormat="1" x14ac:dyDescent="0.25">
      <c r="A102" s="111">
        <f>-(B99^2)*E99</f>
        <v>-4059.8322410644964</v>
      </c>
      <c r="B102" s="50">
        <f>-B99*D99*E99</f>
        <v>-4059.8322410644964</v>
      </c>
      <c r="C102" s="50">
        <f>E99*(B99^2)</f>
        <v>4059.8322410644964</v>
      </c>
      <c r="D102" s="50">
        <f>B99*D99*E99</f>
        <v>4059.8322410644964</v>
      </c>
      <c r="E102" s="112"/>
      <c r="F102" s="113">
        <v>11</v>
      </c>
      <c r="G102" s="109"/>
      <c r="H102" s="109"/>
      <c r="I102" s="109"/>
      <c r="J102" s="109"/>
      <c r="K102" s="109"/>
      <c r="L102" s="112"/>
      <c r="M102" s="142">
        <f>C22</f>
        <v>0.80369766007150234</v>
      </c>
      <c r="N102" s="116"/>
      <c r="O102" s="50"/>
      <c r="Z102" s="110">
        <f>F102</f>
        <v>11</v>
      </c>
      <c r="AA102" s="110">
        <f>$Z$102*100+AA99</f>
        <v>1105</v>
      </c>
      <c r="AB102" s="110">
        <f>$Z$102*100+AB99</f>
        <v>1106</v>
      </c>
      <c r="AC102" s="110">
        <f>$Z$102*100+AC99</f>
        <v>1111</v>
      </c>
      <c r="AD102" s="110">
        <f>$Z$102*100+AD99</f>
        <v>1112</v>
      </c>
    </row>
    <row r="103" spans="1:30" s="110" customFormat="1" ht="15.75" thickBot="1" x14ac:dyDescent="0.3">
      <c r="A103" s="121">
        <f>-B99*D99*E99</f>
        <v>-4059.8322410644964</v>
      </c>
      <c r="B103" s="122">
        <f>-(D99^2)*E99</f>
        <v>-4059.8322410644964</v>
      </c>
      <c r="C103" s="122">
        <f>B99*D99*E99</f>
        <v>4059.8322410644964</v>
      </c>
      <c r="D103" s="122">
        <f>E99*(D99^2)</f>
        <v>4059.8322410644964</v>
      </c>
      <c r="E103" s="123"/>
      <c r="F103" s="113">
        <v>12</v>
      </c>
      <c r="G103" s="109"/>
      <c r="H103" s="109"/>
      <c r="I103" s="109"/>
      <c r="J103" s="109"/>
      <c r="K103" s="109"/>
      <c r="L103" s="112"/>
      <c r="M103" s="142">
        <f>C23</f>
        <v>-3.8113473089259511</v>
      </c>
      <c r="N103" s="116"/>
      <c r="O103" s="50"/>
      <c r="Z103" s="110">
        <f>F103</f>
        <v>12</v>
      </c>
      <c r="AA103" s="110">
        <f>$Z$103*100+AA99</f>
        <v>1205</v>
      </c>
      <c r="AB103" s="110">
        <f>$Z$103*100+AB99</f>
        <v>1206</v>
      </c>
      <c r="AC103" s="110">
        <f>$Z$103*100+AC99</f>
        <v>1211</v>
      </c>
      <c r="AD103" s="110">
        <f>$Z$103*100+AD99</f>
        <v>1212</v>
      </c>
    </row>
    <row r="104" spans="1:30" s="110" customFormat="1" x14ac:dyDescent="0.25"/>
    <row r="106" spans="1:30" x14ac:dyDescent="0.25">
      <c r="D106" s="19"/>
      <c r="E106" s="19"/>
      <c r="F106" s="19"/>
      <c r="G106" s="19"/>
      <c r="H106" s="19"/>
      <c r="I106" s="19"/>
      <c r="J106" s="19"/>
      <c r="K106" s="19"/>
    </row>
    <row r="107" spans="1:30" x14ac:dyDescent="0.25">
      <c r="D107" s="19"/>
      <c r="E107" s="50">
        <v>1</v>
      </c>
      <c r="F107" s="50">
        <v>2</v>
      </c>
      <c r="G107" s="50">
        <v>3</v>
      </c>
      <c r="H107" s="50">
        <v>4</v>
      </c>
      <c r="I107" s="50">
        <v>5</v>
      </c>
      <c r="J107" s="50">
        <v>6</v>
      </c>
      <c r="K107" s="50">
        <v>7</v>
      </c>
      <c r="L107" s="50">
        <v>8</v>
      </c>
      <c r="M107" s="50">
        <v>9</v>
      </c>
      <c r="N107" s="50">
        <v>10</v>
      </c>
      <c r="O107" s="50">
        <v>11</v>
      </c>
      <c r="P107" s="50">
        <v>12</v>
      </c>
    </row>
    <row r="108" spans="1:30" x14ac:dyDescent="0.25">
      <c r="D108" s="48">
        <v>1</v>
      </c>
      <c r="E108" s="114">
        <f>SUMIF($AA$46:$AD$103,$D$108*100+E107,$A$46:$D$103)</f>
        <v>20751.24066975895</v>
      </c>
      <c r="F108" s="114">
        <f t="shared" ref="F108:P108" si="5">SUMIF($AA$46:$AD$103,$D$108*100+F107,$A$46:$D$103)</f>
        <v>4059.832241064496</v>
      </c>
      <c r="G108" s="114">
        <f t="shared" si="5"/>
        <v>0</v>
      </c>
      <c r="H108" s="126">
        <f t="shared" si="5"/>
        <v>0</v>
      </c>
      <c r="I108" s="114">
        <f t="shared" si="5"/>
        <v>-16691.408428694453</v>
      </c>
      <c r="J108" s="114">
        <f t="shared" si="5"/>
        <v>0</v>
      </c>
      <c r="K108" s="114">
        <f t="shared" si="5"/>
        <v>-4059.8322410644964</v>
      </c>
      <c r="L108" s="114">
        <f t="shared" si="5"/>
        <v>-4059.8322410644964</v>
      </c>
      <c r="M108" s="114">
        <f t="shared" si="5"/>
        <v>0</v>
      </c>
      <c r="N108" s="114">
        <f t="shared" si="5"/>
        <v>0</v>
      </c>
      <c r="O108" s="114">
        <f t="shared" si="5"/>
        <v>0</v>
      </c>
      <c r="P108" s="118">
        <f t="shared" si="5"/>
        <v>0</v>
      </c>
      <c r="Q108" s="128"/>
      <c r="R108" s="56">
        <v>0</v>
      </c>
      <c r="S108" s="128"/>
      <c r="T108" s="56" t="s">
        <v>58</v>
      </c>
    </row>
    <row r="109" spans="1:30" x14ac:dyDescent="0.25">
      <c r="D109" s="48">
        <v>2</v>
      </c>
      <c r="E109" s="114">
        <f>SUMIF($AA$46:$AD$103,$D$109*100+E107,$A$46:$D$103)</f>
        <v>4059.832241064496</v>
      </c>
      <c r="F109" s="114">
        <f t="shared" ref="F109:P109" si="6">SUMIF($AA$46:$AD$103,$D$109*100+F107,$A$46:$D$103)</f>
        <v>4059.8322410644964</v>
      </c>
      <c r="G109" s="114">
        <f t="shared" si="6"/>
        <v>0</v>
      </c>
      <c r="H109" s="126">
        <f t="shared" si="6"/>
        <v>0</v>
      </c>
      <c r="I109" s="114">
        <f t="shared" si="6"/>
        <v>0</v>
      </c>
      <c r="J109" s="114">
        <f t="shared" si="6"/>
        <v>0</v>
      </c>
      <c r="K109" s="114">
        <f t="shared" si="6"/>
        <v>-4059.8322410644964</v>
      </c>
      <c r="L109" s="114">
        <f t="shared" si="6"/>
        <v>-4059.8322410644964</v>
      </c>
      <c r="M109" s="114">
        <f t="shared" si="6"/>
        <v>0</v>
      </c>
      <c r="N109" s="114">
        <f t="shared" si="6"/>
        <v>0</v>
      </c>
      <c r="O109" s="114">
        <f t="shared" si="6"/>
        <v>0</v>
      </c>
      <c r="P109" s="118">
        <f t="shared" si="6"/>
        <v>0</v>
      </c>
      <c r="Q109" s="128"/>
      <c r="R109" s="56">
        <v>0</v>
      </c>
      <c r="S109" s="128"/>
      <c r="T109" s="56" t="s">
        <v>59</v>
      </c>
    </row>
    <row r="110" spans="1:30" x14ac:dyDescent="0.25">
      <c r="D110" s="48">
        <v>3</v>
      </c>
      <c r="E110" s="114">
        <f>SUMIF($AA$46:$AD$103,$D$110*100+E107,$A$46:$D$103)</f>
        <v>0</v>
      </c>
      <c r="F110" s="114">
        <f t="shared" ref="F110:P110" si="7">SUMIF($AA$46:$AD$103,$D$110*100+F107,$A$46:$D$103)</f>
        <v>0</v>
      </c>
      <c r="G110" s="114">
        <f t="shared" si="7"/>
        <v>19569.80048869599</v>
      </c>
      <c r="H110" s="126">
        <f t="shared" si="7"/>
        <v>-4357.7749716336348</v>
      </c>
      <c r="I110" s="114">
        <f t="shared" si="7"/>
        <v>-4357.7749716336348</v>
      </c>
      <c r="J110" s="114">
        <f t="shared" si="7"/>
        <v>4357.7749716336348</v>
      </c>
      <c r="K110" s="114">
        <f t="shared" si="7"/>
        <v>-15212.025517062355</v>
      </c>
      <c r="L110" s="114">
        <f t="shared" si="7"/>
        <v>0</v>
      </c>
      <c r="M110" s="114">
        <f t="shared" si="7"/>
        <v>0</v>
      </c>
      <c r="N110" s="114">
        <f t="shared" si="7"/>
        <v>0</v>
      </c>
      <c r="O110" s="114">
        <f t="shared" si="7"/>
        <v>0</v>
      </c>
      <c r="P110" s="118">
        <f t="shared" si="7"/>
        <v>0</v>
      </c>
      <c r="Q110" s="128"/>
      <c r="R110" s="56">
        <v>0</v>
      </c>
      <c r="S110" s="128"/>
      <c r="T110" s="56" t="s">
        <v>107</v>
      </c>
    </row>
    <row r="111" spans="1:30" ht="15.75" thickBot="1" x14ac:dyDescent="0.3">
      <c r="D111" s="48">
        <v>4</v>
      </c>
      <c r="E111" s="124">
        <f>SUMIF($AA$46:$AD$103,$D$111*100+E107,$A$46:$D$103)</f>
        <v>0</v>
      </c>
      <c r="F111" s="124">
        <f t="shared" ref="F111:P111" si="8">SUMIF($AA$46:$AD$103,$D$111*100+F107,$A$46:$D$103)</f>
        <v>0</v>
      </c>
      <c r="G111" s="124">
        <f t="shared" si="8"/>
        <v>-4357.7749716336348</v>
      </c>
      <c r="H111" s="127">
        <f t="shared" si="8"/>
        <v>4357.7749716336348</v>
      </c>
      <c r="I111" s="124">
        <f t="shared" si="8"/>
        <v>4357.7749716336348</v>
      </c>
      <c r="J111" s="124">
        <f t="shared" si="8"/>
        <v>-4357.7749716336348</v>
      </c>
      <c r="K111" s="124">
        <f t="shared" si="8"/>
        <v>0</v>
      </c>
      <c r="L111" s="124">
        <f t="shared" si="8"/>
        <v>0</v>
      </c>
      <c r="M111" s="124">
        <f t="shared" si="8"/>
        <v>0</v>
      </c>
      <c r="N111" s="124">
        <f t="shared" si="8"/>
        <v>0</v>
      </c>
      <c r="O111" s="124">
        <f t="shared" si="8"/>
        <v>0</v>
      </c>
      <c r="P111" s="125">
        <f t="shared" si="8"/>
        <v>0</v>
      </c>
      <c r="Q111" s="128"/>
      <c r="R111" s="56">
        <v>0</v>
      </c>
      <c r="S111" s="128"/>
      <c r="T111" s="56" t="s">
        <v>108</v>
      </c>
    </row>
    <row r="112" spans="1:30" x14ac:dyDescent="0.25">
      <c r="D112" s="48">
        <v>5</v>
      </c>
      <c r="E112" s="114">
        <f>SUMIF($AA$46:$AD$103,$D$112*100+E107,$A$46:$D$103)</f>
        <v>-16691.408428694453</v>
      </c>
      <c r="F112" s="114">
        <f>SUMIF($AA$46:$AD$103,$D$112*100+F107,$A$46:$D$103)</f>
        <v>0</v>
      </c>
      <c r="G112" s="114">
        <f>SUMIF($AA$46:$AD$103,$D$112*100+G107,$A$46:$D$103)</f>
        <v>-4357.7749716336348</v>
      </c>
      <c r="H112" s="126">
        <f>SUMIF($AA$46:$AD$103,$D$112*100+H107,$A$46:$D$103)</f>
        <v>4357.7749716336348</v>
      </c>
      <c r="I112" s="145">
        <f>C60+A64+A70+A82+A100</f>
        <v>36591.955273938518</v>
      </c>
      <c r="J112" s="114">
        <f>D60+B64+B70+B82+B100</f>
        <v>-297.9427305691388</v>
      </c>
      <c r="K112" s="114">
        <f>C70</f>
        <v>0</v>
      </c>
      <c r="L112" s="114">
        <f>D70</f>
        <v>0</v>
      </c>
      <c r="M112" s="114">
        <f>C64</f>
        <v>-11482.939632545933</v>
      </c>
      <c r="N112" s="114">
        <f>D64</f>
        <v>0</v>
      </c>
      <c r="O112" s="114">
        <f>C100</f>
        <v>-4059.8322410644964</v>
      </c>
      <c r="P112" s="118">
        <f>D100</f>
        <v>-4059.8322410644964</v>
      </c>
      <c r="Q112" s="128"/>
      <c r="R112" s="56" t="s">
        <v>62</v>
      </c>
      <c r="S112" s="128"/>
      <c r="T112" s="115">
        <f>T35*1000</f>
        <v>0</v>
      </c>
    </row>
    <row r="113" spans="3:20" x14ac:dyDescent="0.25">
      <c r="D113" s="48">
        <v>6</v>
      </c>
      <c r="E113" s="114">
        <f>SUMIF($AA$46:$AD$103,$D$113*100+E107,$A$46:$D$103)</f>
        <v>0</v>
      </c>
      <c r="F113" s="114">
        <f>SUMIF($AA$46:$AD$103,$D$113*100+F107,$A$46:$D$103)</f>
        <v>0</v>
      </c>
      <c r="G113" s="114">
        <f>SUMIF($AA$46:$AD$103,$D$113*100+G107,$A$46:$D$103)</f>
        <v>4357.7749716336348</v>
      </c>
      <c r="H113" s="126">
        <f>SUMIF($AA$46:$AD$103,$D$113*100+H107,$A$46:$D$103)</f>
        <v>-4357.7749716336348</v>
      </c>
      <c r="I113" s="114">
        <f>C61+A65+A71+A83+A101</f>
        <v>-297.9427305691388</v>
      </c>
      <c r="J113" s="145">
        <f>D61+B65+B71+B83+B101</f>
        <v>19900.546845244065</v>
      </c>
      <c r="K113" s="114">
        <f>C71</f>
        <v>0</v>
      </c>
      <c r="L113" s="114">
        <f>D71</f>
        <v>-11482.939632545933</v>
      </c>
      <c r="M113" s="114">
        <f>C65</f>
        <v>0</v>
      </c>
      <c r="N113" s="114">
        <f>D65</f>
        <v>0</v>
      </c>
      <c r="O113" s="114">
        <f>C101</f>
        <v>-4059.8322410644964</v>
      </c>
      <c r="P113" s="118">
        <f>D101</f>
        <v>-4059.8322410644964</v>
      </c>
      <c r="Q113" s="128"/>
      <c r="R113" s="56" t="s">
        <v>63</v>
      </c>
      <c r="S113" s="128"/>
      <c r="T113" s="56">
        <f>U35*1000</f>
        <v>-5000</v>
      </c>
    </row>
    <row r="114" spans="3:20" ht="15.75" x14ac:dyDescent="0.25">
      <c r="D114" s="48">
        <v>7</v>
      </c>
      <c r="E114" s="114">
        <f>SUMIF($AA$46:$AD$103,$D$114*100+E107,$A$46:$D$103)</f>
        <v>-4059.8322410644964</v>
      </c>
      <c r="F114" s="114">
        <f>SUMIF($AA$46:$AD$103,$D$114*100+F107,$A$46:$D$103)</f>
        <v>-4059.8322410644964</v>
      </c>
      <c r="G114" s="114">
        <f>SUMIF($AA$46:$AD$103,$D$114*100+G107,$A$46:$D$103)</f>
        <v>-15212.025517062355</v>
      </c>
      <c r="H114" s="126">
        <f>SUMIF($AA$46:$AD$103,$D$114*100+H107,$A$46:$D$103)</f>
        <v>0</v>
      </c>
      <c r="I114" s="114">
        <f>A72</f>
        <v>0</v>
      </c>
      <c r="J114" s="114">
        <f>B72</f>
        <v>0</v>
      </c>
      <c r="K114" s="145">
        <f>C48+A52+C72+C90+C96</f>
        <v>34814.629631737283</v>
      </c>
      <c r="L114" s="114">
        <f>D48+B52+D72+D90+D96</f>
        <v>0</v>
      </c>
      <c r="M114" s="114">
        <f>A96</f>
        <v>-4059.8322410644964</v>
      </c>
      <c r="N114" s="114">
        <f>B96</f>
        <v>4059.8322410644964</v>
      </c>
      <c r="O114" s="114">
        <f>C52</f>
        <v>-11482.939632545933</v>
      </c>
      <c r="P114" s="118">
        <f>D52</f>
        <v>0</v>
      </c>
      <c r="Q114" s="231" t="s">
        <v>145</v>
      </c>
      <c r="R114" s="56" t="s">
        <v>101</v>
      </c>
      <c r="S114" s="151" t="s">
        <v>57</v>
      </c>
      <c r="T114" s="56">
        <f>T34*1000</f>
        <v>0</v>
      </c>
    </row>
    <row r="115" spans="3:20" x14ac:dyDescent="0.25">
      <c r="D115" s="48">
        <v>8</v>
      </c>
      <c r="E115" s="114">
        <f>SUMIF($AA$46:$AD$103,$D$115*100+E107,$A$46:$D$103)</f>
        <v>-4059.8322410644964</v>
      </c>
      <c r="F115" s="114">
        <f>SUMIF($AA$46:$AD$103,$D$115*100+F107,$A$46:$D$103)</f>
        <v>-4059.8322410644964</v>
      </c>
      <c r="G115" s="114">
        <f>SUMIF($AA$46:$AD$103,$D$115*100+G107,$A$46:$D$103)</f>
        <v>0</v>
      </c>
      <c r="H115" s="126">
        <f>SUMIF($AA$46:$AD$103,$D$115*100+H107,$A$46:$D$103)</f>
        <v>0</v>
      </c>
      <c r="I115" s="114">
        <f>A73</f>
        <v>0</v>
      </c>
      <c r="J115" s="114">
        <f>B73</f>
        <v>-11482.939632545933</v>
      </c>
      <c r="K115" s="114">
        <f>C49+A53+C73+C91+C97</f>
        <v>0</v>
      </c>
      <c r="L115" s="145">
        <f>D49+B53+D73+D91+D97</f>
        <v>19602.604114674927</v>
      </c>
      <c r="M115" s="114">
        <f>A97</f>
        <v>4059.8322410644964</v>
      </c>
      <c r="N115" s="114">
        <f>B97</f>
        <v>-4059.8322410644964</v>
      </c>
      <c r="O115" s="114">
        <f>C53</f>
        <v>0</v>
      </c>
      <c r="P115" s="118">
        <f>D53</f>
        <v>0</v>
      </c>
      <c r="Q115" s="128"/>
      <c r="R115" s="56" t="s">
        <v>102</v>
      </c>
      <c r="S115" s="128"/>
      <c r="T115" s="56">
        <f>U34*1000</f>
        <v>0</v>
      </c>
    </row>
    <row r="116" spans="3:20" x14ac:dyDescent="0.25">
      <c r="D116" s="48">
        <v>9</v>
      </c>
      <c r="E116" s="114">
        <f>SUMIF($AA$46:$AD$103,$D$116*100+E107,$A$46:$D$103)</f>
        <v>0</v>
      </c>
      <c r="F116" s="114">
        <f>SUMIF($AA$46:$AD$103,$D$116*100+F107,$A$46:$D$103)</f>
        <v>0</v>
      </c>
      <c r="G116" s="114">
        <f>SUMIF($AA$46:$AD$103,$D$116*100+G107,$A$46:$D$103)</f>
        <v>0</v>
      </c>
      <c r="H116" s="126">
        <f>SUMIF($AA$46:$AD$103,$D$116*100+H107,$A$46:$D$103)</f>
        <v>0</v>
      </c>
      <c r="I116" s="114">
        <f>A66</f>
        <v>-11482.939632545933</v>
      </c>
      <c r="J116" s="114">
        <f>B66</f>
        <v>0</v>
      </c>
      <c r="K116" s="114">
        <f>C94</f>
        <v>-4059.8322410644964</v>
      </c>
      <c r="L116" s="114">
        <f>D94</f>
        <v>4059.8322410644964</v>
      </c>
      <c r="M116" s="145">
        <f>C66+A76+A94</f>
        <v>15542.771873610429</v>
      </c>
      <c r="N116" s="114">
        <f>B94</f>
        <v>-4059.832241064496</v>
      </c>
      <c r="O116" s="114">
        <f>C76</f>
        <v>0</v>
      </c>
      <c r="P116" s="118">
        <f>D76</f>
        <v>0</v>
      </c>
      <c r="Q116" s="128"/>
      <c r="R116" s="56" t="s">
        <v>103</v>
      </c>
      <c r="S116" s="128"/>
      <c r="T116" s="56">
        <f>T33*1000</f>
        <v>0</v>
      </c>
    </row>
    <row r="117" spans="3:20" x14ac:dyDescent="0.25">
      <c r="D117" s="48">
        <v>10</v>
      </c>
      <c r="E117" s="114">
        <f>SUMIF($AA$46:$AD$103,$D$117*100+E107,$A$46:$D$103)</f>
        <v>0</v>
      </c>
      <c r="F117" s="114">
        <f>SUMIF($AA$46:$AD$103,$D$117*100+F107,$A$46:$D$103)</f>
        <v>0</v>
      </c>
      <c r="G117" s="114">
        <f>SUMIF($AA$46:$AD$103,$D$117*100+G107,$A$46:$D$103)</f>
        <v>0</v>
      </c>
      <c r="H117" s="126">
        <f>SUMIF($AA$46:$AD$103,$D$117*100+H107,$A$46:$D$103)</f>
        <v>0</v>
      </c>
      <c r="I117" s="114">
        <f>A67</f>
        <v>0</v>
      </c>
      <c r="J117" s="114">
        <f>B67</f>
        <v>0</v>
      </c>
      <c r="K117" s="114">
        <f>C95</f>
        <v>4059.8322410644964</v>
      </c>
      <c r="L117" s="114">
        <f>D95</f>
        <v>-4059.8322410644964</v>
      </c>
      <c r="M117" s="114">
        <f>C67+A77+A95</f>
        <v>-4059.832241064496</v>
      </c>
      <c r="N117" s="145">
        <f>D67+B77+B95</f>
        <v>15542.771873610429</v>
      </c>
      <c r="O117" s="114">
        <f>C77</f>
        <v>0</v>
      </c>
      <c r="P117" s="118">
        <f>D77</f>
        <v>-11482.939632545933</v>
      </c>
      <c r="Q117" s="128"/>
      <c r="R117" s="56" t="s">
        <v>104</v>
      </c>
      <c r="S117" s="128"/>
      <c r="T117" s="56">
        <f>U33*1000</f>
        <v>-5000</v>
      </c>
    </row>
    <row r="118" spans="3:20" x14ac:dyDescent="0.25">
      <c r="D118" s="48">
        <v>11</v>
      </c>
      <c r="E118" s="114">
        <f>SUMIF($AA$46:$AD$103,$D$118*100+E107,$A$46:$D$103)</f>
        <v>0</v>
      </c>
      <c r="F118" s="114">
        <f>SUMIF($AA$46:$AD$103,$D$118*100+F107,$A$46:$D$103)</f>
        <v>0</v>
      </c>
      <c r="G118" s="114">
        <f>SUMIF($AA$46:$AD$103,$D$118*100+G107,$A$46:$D$103)</f>
        <v>0</v>
      </c>
      <c r="H118" s="126">
        <f>SUMIF($AA$46:$AD$103,$D$118*100+H107,$A$46:$D$103)</f>
        <v>0</v>
      </c>
      <c r="I118" s="114">
        <f>A102</f>
        <v>-4059.8322410644964</v>
      </c>
      <c r="J118" s="114">
        <f>B102</f>
        <v>-4059.8322410644964</v>
      </c>
      <c r="K118" s="114">
        <f>A54</f>
        <v>-11482.939632545933</v>
      </c>
      <c r="L118" s="114">
        <f>B54</f>
        <v>0</v>
      </c>
      <c r="M118" s="114">
        <f>A78</f>
        <v>0</v>
      </c>
      <c r="N118" s="114">
        <f>B78</f>
        <v>0</v>
      </c>
      <c r="O118" s="145">
        <f>C54+C78+C102</f>
        <v>15542.771873610429</v>
      </c>
      <c r="P118" s="118">
        <f>D54+D78+D102</f>
        <v>4059.8322410644964</v>
      </c>
      <c r="Q118" s="128"/>
      <c r="R118" s="56" t="s">
        <v>105</v>
      </c>
      <c r="S118" s="128"/>
      <c r="T118" s="56">
        <f>T32*1000</f>
        <v>0</v>
      </c>
    </row>
    <row r="119" spans="3:20" x14ac:dyDescent="0.25">
      <c r="D119" s="48">
        <v>12</v>
      </c>
      <c r="E119" s="114">
        <f>SUMIF($AA$46:$AD$103,$D$119*100+E107,$A$46:$D$103)</f>
        <v>0</v>
      </c>
      <c r="F119" s="114">
        <f>SUMIF($AA$46:$AD$103,$D$119*100+F107,$A$46:$D$103)</f>
        <v>0</v>
      </c>
      <c r="G119" s="114">
        <f>SUMIF($AA$46:$AD$103,$D$119*100+G107,$A$46:$D$103)</f>
        <v>0</v>
      </c>
      <c r="H119" s="126">
        <f>SUMIF($AA$46:$AD$103,$D$119*100+H107,$A$46:$D$103)</f>
        <v>0</v>
      </c>
      <c r="I119" s="114">
        <f>A103</f>
        <v>-4059.8322410644964</v>
      </c>
      <c r="J119" s="114">
        <f>B103</f>
        <v>-4059.8322410644964</v>
      </c>
      <c r="K119" s="114">
        <f>A55</f>
        <v>0</v>
      </c>
      <c r="L119" s="114">
        <f>B55</f>
        <v>0</v>
      </c>
      <c r="M119" s="114">
        <f>A79</f>
        <v>0</v>
      </c>
      <c r="N119" s="114">
        <f>B79</f>
        <v>-11482.939632545933</v>
      </c>
      <c r="O119" s="114">
        <f>C55+C79+C103</f>
        <v>4059.8322410644964</v>
      </c>
      <c r="P119" s="146">
        <f>D55+D79+D103</f>
        <v>15542.771873610429</v>
      </c>
      <c r="Q119" s="128"/>
      <c r="R119" s="56" t="s">
        <v>106</v>
      </c>
      <c r="S119" s="128"/>
      <c r="T119" s="56">
        <f>T32*1000</f>
        <v>0</v>
      </c>
    </row>
    <row r="120" spans="3:20" x14ac:dyDescent="0.25">
      <c r="D120" s="19"/>
      <c r="E120" s="50"/>
      <c r="F120" s="50"/>
      <c r="G120" s="50"/>
      <c r="H120" s="50"/>
      <c r="I120" s="50"/>
      <c r="J120" s="50"/>
      <c r="K120" s="50"/>
      <c r="M120" s="52"/>
      <c r="O120" s="19"/>
      <c r="P120" s="19"/>
      <c r="R120" s="50"/>
      <c r="T120" s="50"/>
    </row>
    <row r="121" spans="3:20" ht="15.75" thickBot="1" x14ac:dyDescent="0.3"/>
    <row r="122" spans="3:20" ht="15.75" thickBot="1" x14ac:dyDescent="0.3">
      <c r="C122" s="236" t="s">
        <v>131</v>
      </c>
      <c r="D122" s="237"/>
      <c r="E122" s="237"/>
      <c r="F122" s="238"/>
      <c r="H122" s="261" t="s">
        <v>129</v>
      </c>
      <c r="I122" s="261"/>
      <c r="J122" s="261"/>
    </row>
    <row r="123" spans="3:20" s="110" customFormat="1" ht="15.75" thickBot="1" x14ac:dyDescent="0.3">
      <c r="C123" s="235" t="s">
        <v>109</v>
      </c>
      <c r="D123" s="235"/>
      <c r="E123" s="235"/>
      <c r="F123" s="135">
        <f>I112*C16+J112*C17+K112*C18+L112*C19+M112*C20+N112*C21+O112*C22+P112*C23-T112</f>
        <v>6.3443258113693446E-7</v>
      </c>
      <c r="H123" s="267" t="s">
        <v>121</v>
      </c>
      <c r="I123" s="143" t="s">
        <v>125</v>
      </c>
      <c r="J123" s="144">
        <f>(-K34)+(-K42*(C26/SQRT(C26^2+C27^2)))+T32*1000</f>
        <v>-1.5916157281026244E-12</v>
      </c>
    </row>
    <row r="124" spans="3:20" s="110" customFormat="1" ht="15.75" thickBot="1" x14ac:dyDescent="0.3">
      <c r="C124" s="235" t="s">
        <v>111</v>
      </c>
      <c r="D124" s="235"/>
      <c r="E124" s="235"/>
      <c r="F124" s="135">
        <f>I113*C16+J113*C17+K113*C18+L113*C19+M113*C20+N113*C21+O113*C22+P113*C23-T113</f>
        <v>-6.3442348618991673E-7</v>
      </c>
      <c r="H124" s="268"/>
      <c r="I124" s="143" t="s">
        <v>126</v>
      </c>
      <c r="J124" s="144">
        <f>(-K42*(C27/SQRT(C26^2+C27^2)))+(-K38)+U32*1000</f>
        <v>-6.8212102632969618E-13</v>
      </c>
    </row>
    <row r="125" spans="3:20" s="110" customFormat="1" ht="15.75" thickBot="1" x14ac:dyDescent="0.3">
      <c r="C125" s="235" t="s">
        <v>112</v>
      </c>
      <c r="D125" s="235"/>
      <c r="E125" s="235"/>
      <c r="F125" s="135">
        <f>I114*C16+J114*C17+K114*C18+L114*C19+M114*C20+N114*C21+O114*C22+P114*C23-T114</f>
        <v>-1.8189894035458565E-12</v>
      </c>
      <c r="H125" s="267" t="s">
        <v>122</v>
      </c>
      <c r="I125" s="143" t="s">
        <v>125</v>
      </c>
      <c r="J125" s="144">
        <f>(K36)+(+K41*(C26/SQRT(C26^2+C27^2)))+T33*1000</f>
        <v>-1.3642420526593924E-12</v>
      </c>
    </row>
    <row r="126" spans="3:20" s="110" customFormat="1" ht="15.75" thickBot="1" x14ac:dyDescent="0.3">
      <c r="C126" s="235" t="s">
        <v>113</v>
      </c>
      <c r="D126" s="235"/>
      <c r="E126" s="235"/>
      <c r="F126" s="135">
        <f>I115*C16+J115*C17+K115*C18+L115*C19+M115*C20+N115*C21+O115*C22+P115*C23-T115</f>
        <v>-1.8189894035458565E-12</v>
      </c>
      <c r="H126" s="268"/>
      <c r="I126" s="143" t="s">
        <v>126</v>
      </c>
      <c r="J126" s="144">
        <f>K38+(K41*(C27/SQRT(C26^2+C27^2)))+U33*1000</f>
        <v>7.2759576141834259E-12</v>
      </c>
    </row>
    <row r="127" spans="3:20" s="110" customFormat="1" ht="15.75" thickBot="1" x14ac:dyDescent="0.3">
      <c r="C127" s="235" t="s">
        <v>114</v>
      </c>
      <c r="D127" s="235"/>
      <c r="E127" s="235"/>
      <c r="F127" s="135">
        <f>I116*C16+J116*C17+K116*C18+L116*C19+M116*C20+N116*C21+O116*C22+P116*C23-T116</f>
        <v>-1.8189894035458565E-12</v>
      </c>
      <c r="H127" s="258" t="s">
        <v>123</v>
      </c>
      <c r="I127" s="143" t="s">
        <v>125</v>
      </c>
      <c r="J127" s="144">
        <f>(-K33)+K34+(-K40*(C26/SQRT(C26^2+C27^2)))+(K41*(C26/SQRT(C26^2+C27^2)))+T34*1000</f>
        <v>3.1832314562052488E-12</v>
      </c>
    </row>
    <row r="128" spans="3:20" s="110" customFormat="1" ht="15.75" thickBot="1" x14ac:dyDescent="0.3">
      <c r="C128" s="235" t="s">
        <v>115</v>
      </c>
      <c r="D128" s="235"/>
      <c r="E128" s="235"/>
      <c r="F128" s="135">
        <f>I117*C16+J117*C17+K117*C18+L117*C19+M117*C20+N117*C21+O117*C22+P117*C23-T117</f>
        <v>0</v>
      </c>
      <c r="H128" s="258"/>
      <c r="I128" s="143" t="s">
        <v>126</v>
      </c>
      <c r="J128" s="144">
        <f>-K37+(-K40*(C27/SQRT(C26^2+C27^2)))+(-K41*(C27/SQRT(C26^2+C27^2)))+U34*1000</f>
        <v>5.0022208597511053E-12</v>
      </c>
    </row>
    <row r="129" spans="2:10" s="110" customFormat="1" ht="15.75" thickBot="1" x14ac:dyDescent="0.3">
      <c r="C129" s="235" t="s">
        <v>116</v>
      </c>
      <c r="D129" s="235"/>
      <c r="E129" s="235"/>
      <c r="F129" s="135">
        <f>I118*C16+J118*C17+K118*C18+L118*C19+M118*C20+N118*C21+O118*C22+P118*C23-T118</f>
        <v>3.637978807091713E-12</v>
      </c>
      <c r="H129" s="258" t="s">
        <v>124</v>
      </c>
      <c r="I129" s="143" t="s">
        <v>125</v>
      </c>
      <c r="J129" s="144">
        <f>-K35+K36+(-K39*(C26/SQRT(C26^2+C27^2)))+(K42*(C26/SQRT(C26^2+C27^2)))+T35*1000</f>
        <v>-6.3443008002650458E-7</v>
      </c>
    </row>
    <row r="130" spans="2:10" s="110" customFormat="1" ht="15.75" thickBot="1" x14ac:dyDescent="0.3">
      <c r="C130" s="235" t="s">
        <v>117</v>
      </c>
      <c r="D130" s="235"/>
      <c r="E130" s="235"/>
      <c r="F130" s="135">
        <f>I119*C16+J119*C17+K119*C18+L119*C19+M119*C20+N119*C21+O119*C22+P119*C23-T119</f>
        <v>0</v>
      </c>
      <c r="H130" s="258"/>
      <c r="I130" s="143" t="s">
        <v>126</v>
      </c>
      <c r="J130" s="144">
        <f>K37+(K39*(C27/SQRT(C26^2+C27^2)))+(K42*(C27/SQRT(C26^2+C27^2)))+U35*1000</f>
        <v>6.3441984821110964E-7</v>
      </c>
    </row>
    <row r="131" spans="2:10" x14ac:dyDescent="0.25">
      <c r="B131" s="19"/>
      <c r="C131" s="137"/>
      <c r="D131" s="137"/>
      <c r="E131" s="137"/>
      <c r="F131" s="136"/>
    </row>
    <row r="132" spans="2:10" ht="15.75" thickBot="1" x14ac:dyDescent="0.3">
      <c r="C132" s="226"/>
      <c r="D132" s="227"/>
      <c r="E132" s="227"/>
      <c r="F132" s="227"/>
    </row>
    <row r="133" spans="2:10" ht="15.75" thickBot="1" x14ac:dyDescent="0.3">
      <c r="C133" s="228"/>
      <c r="D133" s="228"/>
      <c r="E133" s="228"/>
      <c r="F133" s="154"/>
      <c r="H133" s="257" t="s">
        <v>128</v>
      </c>
      <c r="I133" s="257"/>
      <c r="J133" s="150">
        <f>INDEX(MMULT(MINVERSE(I112:P119),T112:T119),1,1)</f>
        <v>-0.62689176451707762</v>
      </c>
    </row>
    <row r="134" spans="2:10" x14ac:dyDescent="0.25">
      <c r="C134" s="228"/>
      <c r="D134" s="228"/>
      <c r="E134" s="228"/>
      <c r="F134" s="154"/>
    </row>
    <row r="135" spans="2:10" x14ac:dyDescent="0.25">
      <c r="C135" s="229"/>
      <c r="D135" s="229"/>
      <c r="E135" s="229"/>
      <c r="F135" s="154"/>
    </row>
  </sheetData>
  <mergeCells count="33">
    <mergeCell ref="J31:J32"/>
    <mergeCell ref="C127:E127"/>
    <mergeCell ref="C128:E128"/>
    <mergeCell ref="C129:E129"/>
    <mergeCell ref="O31:O32"/>
    <mergeCell ref="A1:D1"/>
    <mergeCell ref="H127:H128"/>
    <mergeCell ref="K31:K32"/>
    <mergeCell ref="H122:J122"/>
    <mergeCell ref="F1:L2"/>
    <mergeCell ref="B31:B32"/>
    <mergeCell ref="C31:C32"/>
    <mergeCell ref="D31:E31"/>
    <mergeCell ref="F31:G31"/>
    <mergeCell ref="H31:H32"/>
    <mergeCell ref="C2:D2"/>
    <mergeCell ref="C3:D3"/>
    <mergeCell ref="L31:L32"/>
    <mergeCell ref="H123:H124"/>
    <mergeCell ref="H125:H126"/>
    <mergeCell ref="C4:D4"/>
    <mergeCell ref="A2:B2"/>
    <mergeCell ref="A4:B4"/>
    <mergeCell ref="A3:B3"/>
    <mergeCell ref="H133:I133"/>
    <mergeCell ref="C130:E130"/>
    <mergeCell ref="C122:F122"/>
    <mergeCell ref="C123:E123"/>
    <mergeCell ref="C124:E124"/>
    <mergeCell ref="C125:E125"/>
    <mergeCell ref="C126:E126"/>
    <mergeCell ref="I31:I32"/>
    <mergeCell ref="H129:H130"/>
  </mergeCells>
  <conditionalFormatting sqref="N33:O42">
    <cfRule type="cellIs" dxfId="132" priority="1" operator="equal">
      <formula>1</formula>
    </cfRule>
  </conditionalFormatting>
  <dataValidations count="2">
    <dataValidation type="decimal" allowBlank="1" showInputMessage="1" showErrorMessage="1" error="Just positive number is acceptable_x000a_Min:0.1                    Max:2" sqref="N31">
      <formula1>0.1</formula1>
      <formula2>2</formula2>
    </dataValidation>
    <dataValidation type="decimal" operator="greaterThan" allowBlank="1" showInputMessage="1" showErrorMessage="1" error="Just positive number is acceptable_x000a_" sqref="C33 H33:J43">
      <formula1>0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B169"/>
  <sheetViews>
    <sheetView topLeftCell="C1" zoomScale="80" zoomScaleNormal="80" workbookViewId="0">
      <selection activeCell="AB21" sqref="AB21"/>
    </sheetView>
  </sheetViews>
  <sheetFormatPr defaultColWidth="9" defaultRowHeight="15" x14ac:dyDescent="0.25"/>
  <cols>
    <col min="1" max="4" width="9" style="30"/>
    <col min="5" max="5" width="8.7109375" style="30" bestFit="1" customWidth="1"/>
    <col min="6" max="6" width="9" style="30"/>
    <col min="7" max="7" width="7.42578125" style="30" customWidth="1"/>
    <col min="8" max="8" width="9.28515625" style="30" bestFit="1" customWidth="1"/>
    <col min="9" max="9" width="9" style="30"/>
    <col min="10" max="10" width="8.42578125" style="30" customWidth="1"/>
    <col min="11" max="12" width="9" style="30"/>
    <col min="13" max="13" width="9.28515625" style="30" bestFit="1" customWidth="1"/>
    <col min="14" max="14" width="8.7109375" style="30" customWidth="1"/>
    <col min="15" max="16384" width="9" style="30"/>
  </cols>
  <sheetData>
    <row r="1" spans="1:54" ht="15.75" thickBot="1" x14ac:dyDescent="0.3">
      <c r="A1" s="236" t="s">
        <v>72</v>
      </c>
      <c r="B1" s="237"/>
      <c r="C1" s="237"/>
      <c r="D1" s="238"/>
      <c r="E1" s="272" t="s">
        <v>171</v>
      </c>
      <c r="F1" s="273"/>
      <c r="G1" s="273"/>
      <c r="H1" s="273"/>
      <c r="I1" s="273"/>
      <c r="AR1" s="159"/>
      <c r="AS1" s="158">
        <v>0</v>
      </c>
      <c r="AT1" s="158">
        <v>0</v>
      </c>
      <c r="AU1" s="158">
        <f>D29</f>
        <v>500</v>
      </c>
      <c r="AV1" s="158">
        <f>E29</f>
        <v>100.00000040523661</v>
      </c>
      <c r="AW1" s="158">
        <f>D33</f>
        <v>1500</v>
      </c>
      <c r="AX1" s="158">
        <v>0</v>
      </c>
      <c r="AY1" s="158">
        <f>D37</f>
        <v>1500</v>
      </c>
      <c r="AZ1" s="158">
        <f>E37</f>
        <v>100.00000040523661</v>
      </c>
      <c r="BA1" s="158"/>
      <c r="BB1" s="158"/>
    </row>
    <row r="2" spans="1:54" ht="15.75" thickBot="1" x14ac:dyDescent="0.3">
      <c r="A2" s="257" t="s">
        <v>120</v>
      </c>
      <c r="B2" s="257"/>
      <c r="C2" s="257"/>
      <c r="D2" s="153">
        <f>B6*C25+B7*C26+B8*C27+B9*C28+B10*C29+B11*C30+B12*C31+B13*C32+B14*C33+B15*C34+B16*C35+B17*C36+B18*C37</f>
        <v>15201.455613477674</v>
      </c>
      <c r="E2" s="272"/>
      <c r="F2" s="273"/>
      <c r="G2" s="273"/>
      <c r="H2" s="273"/>
      <c r="I2" s="273"/>
      <c r="AR2" s="159"/>
      <c r="AS2" s="158">
        <f>D26</f>
        <v>500</v>
      </c>
      <c r="AT2" s="158">
        <v>0</v>
      </c>
      <c r="AU2" s="158">
        <f>F29</f>
        <v>1000</v>
      </c>
      <c r="AV2" s="158">
        <f>G29</f>
        <v>100.00000040523661</v>
      </c>
      <c r="AW2" s="158">
        <f>F33</f>
        <v>1500</v>
      </c>
      <c r="AX2" s="158">
        <f>G33</f>
        <v>100.00000040523661</v>
      </c>
      <c r="AY2" s="158">
        <f>F37</f>
        <v>2000</v>
      </c>
      <c r="AZ2" s="158">
        <v>0</v>
      </c>
      <c r="BA2" s="158"/>
      <c r="BB2" s="158"/>
    </row>
    <row r="3" spans="1:54" ht="15.75" thickBot="1" x14ac:dyDescent="0.3">
      <c r="AR3" s="159"/>
      <c r="AS3" s="158">
        <f>D26</f>
        <v>500</v>
      </c>
      <c r="AT3" s="158">
        <v>0</v>
      </c>
      <c r="AU3" s="158">
        <f>D30</f>
        <v>1000</v>
      </c>
      <c r="AV3" s="158">
        <f>E30</f>
        <v>100.00000040523661</v>
      </c>
      <c r="AW3" s="158">
        <v>0</v>
      </c>
      <c r="AX3" s="158">
        <v>0</v>
      </c>
      <c r="AY3" s="158"/>
      <c r="AZ3" s="158"/>
      <c r="BA3" s="158">
        <f>AY10</f>
        <v>2006.8571428571429</v>
      </c>
      <c r="BB3" s="158">
        <v>0</v>
      </c>
    </row>
    <row r="4" spans="1:54" ht="15.75" thickBot="1" x14ac:dyDescent="0.3">
      <c r="C4" s="157" t="s">
        <v>165</v>
      </c>
      <c r="D4" s="157" t="s">
        <v>166</v>
      </c>
      <c r="AR4" s="159"/>
      <c r="AS4" s="158">
        <f>F26</f>
        <v>1000</v>
      </c>
      <c r="AT4" s="158">
        <v>0</v>
      </c>
      <c r="AU4" s="158">
        <f>F30</f>
        <v>1500</v>
      </c>
      <c r="AV4" s="158">
        <f>G30</f>
        <v>100.00000040523661</v>
      </c>
      <c r="AW4" s="158">
        <f>F34</f>
        <v>500</v>
      </c>
      <c r="AX4" s="158">
        <f>G34</f>
        <v>100.00000040523661</v>
      </c>
      <c r="AY4" s="158"/>
      <c r="AZ4" s="158"/>
      <c r="BA4" s="158">
        <f>BA3+5</f>
        <v>2011.8571428571429</v>
      </c>
      <c r="BB4" s="158">
        <v>-5</v>
      </c>
    </row>
    <row r="5" spans="1:54" ht="15.75" thickBot="1" x14ac:dyDescent="0.3">
      <c r="A5" s="183" t="s">
        <v>5</v>
      </c>
      <c r="B5" s="187">
        <v>100.00000040523661</v>
      </c>
      <c r="C5" s="188">
        <v>100</v>
      </c>
      <c r="D5" s="186">
        <v>500</v>
      </c>
      <c r="F5" s="183" t="s">
        <v>132</v>
      </c>
      <c r="G5" s="187">
        <v>0.34285714285714286</v>
      </c>
      <c r="H5" s="30">
        <f>INDEX(MMULT(MINVERSE($E$121:$Q$133),$U$121:$U$133),1,1)</f>
        <v>0.34285714285958457</v>
      </c>
      <c r="I5" s="200">
        <f>ROUND(ABS((G5-H5)/G5),3)</f>
        <v>0</v>
      </c>
      <c r="AR5" s="159"/>
      <c r="AS5" s="158">
        <f>D27</f>
        <v>1000</v>
      </c>
      <c r="AT5" s="158">
        <v>0</v>
      </c>
      <c r="AU5" s="158">
        <f>D31</f>
        <v>500</v>
      </c>
      <c r="AV5" s="158">
        <v>0</v>
      </c>
      <c r="AW5" s="158">
        <f>D35</f>
        <v>500</v>
      </c>
      <c r="AX5" s="158">
        <f>E35</f>
        <v>100.00000040523661</v>
      </c>
      <c r="AY5" s="158"/>
      <c r="AZ5" s="158"/>
      <c r="BA5" s="158">
        <f>BA3+10</f>
        <v>2016.8571428571429</v>
      </c>
      <c r="BB5" s="158">
        <v>-10</v>
      </c>
    </row>
    <row r="6" spans="1:54" ht="15.75" thickBot="1" x14ac:dyDescent="0.3">
      <c r="A6" s="183" t="s">
        <v>39</v>
      </c>
      <c r="B6" s="187">
        <v>1.0020833333333332</v>
      </c>
      <c r="C6" s="188">
        <v>1</v>
      </c>
      <c r="D6" s="186">
        <v>30</v>
      </c>
      <c r="F6" s="183" t="s">
        <v>133</v>
      </c>
      <c r="G6" s="187">
        <v>-2.7764041848901888</v>
      </c>
      <c r="H6" s="30">
        <f>INDEX(MMULT(MINVERSE($E$121:$Q$133),$U$121:$U$133),2,1)</f>
        <v>-2.7764041849242305</v>
      </c>
      <c r="I6" s="152">
        <f t="shared" ref="I6:I17" si="0">ROUND(ABS((G6-H6)/G6),3)</f>
        <v>0</v>
      </c>
      <c r="AR6" s="159"/>
      <c r="AS6" s="158">
        <f>F27</f>
        <v>1500</v>
      </c>
      <c r="AT6" s="158">
        <v>0</v>
      </c>
      <c r="AU6" s="158">
        <f>F31</f>
        <v>500</v>
      </c>
      <c r="AV6" s="158">
        <f>G31</f>
        <v>100.00000040523661</v>
      </c>
      <c r="AW6" s="158">
        <f>F35</f>
        <v>1000</v>
      </c>
      <c r="AX6" s="158">
        <v>0</v>
      </c>
      <c r="AY6" s="158"/>
      <c r="AZ6" s="158"/>
      <c r="BA6" s="158">
        <f>BA3+12.5</f>
        <v>2019.3571428571429</v>
      </c>
      <c r="BB6" s="158">
        <v>-12.5</v>
      </c>
    </row>
    <row r="7" spans="1:54" ht="15.75" thickBot="1" x14ac:dyDescent="0.3">
      <c r="A7" s="183" t="s">
        <v>40</v>
      </c>
      <c r="B7" s="187">
        <v>1</v>
      </c>
      <c r="C7" s="188">
        <v>1</v>
      </c>
      <c r="D7" s="186">
        <v>30</v>
      </c>
      <c r="F7" s="183" t="s">
        <v>134</v>
      </c>
      <c r="G7" s="187">
        <v>0.68571428571428572</v>
      </c>
      <c r="H7" s="30">
        <f>INDEX(MMULT(MINVERSE($E$121:$Q$133),$U$121:$U$133),3,1)</f>
        <v>0.68571428571917414</v>
      </c>
      <c r="I7" s="200">
        <f t="shared" si="0"/>
        <v>0</v>
      </c>
      <c r="AR7" s="159"/>
      <c r="AS7" s="158">
        <f>D28</f>
        <v>1500</v>
      </c>
      <c r="AT7" s="158">
        <v>0</v>
      </c>
      <c r="AU7" s="158">
        <f>D32</f>
        <v>1000</v>
      </c>
      <c r="AV7" s="158">
        <v>0</v>
      </c>
      <c r="AW7" s="158">
        <f>D36</f>
        <v>1000</v>
      </c>
      <c r="AX7" s="158">
        <v>0</v>
      </c>
      <c r="AY7" s="158"/>
      <c r="AZ7" s="158"/>
      <c r="BA7" s="158">
        <f>BA5</f>
        <v>2016.8571428571429</v>
      </c>
      <c r="BB7" s="158">
        <v>-15</v>
      </c>
    </row>
    <row r="8" spans="1:54" ht="15.75" thickBot="1" x14ac:dyDescent="0.3">
      <c r="A8" s="183" t="s">
        <v>41</v>
      </c>
      <c r="B8" s="187">
        <v>2.1670138892969129</v>
      </c>
      <c r="C8" s="188">
        <v>1</v>
      </c>
      <c r="D8" s="186">
        <v>30</v>
      </c>
      <c r="F8" s="183" t="s">
        <v>135</v>
      </c>
      <c r="G8" s="187">
        <v>-2.1246179074852716</v>
      </c>
      <c r="H8" s="30">
        <f>INDEX(MMULT(MINVERSE($E$121:$Q$133),$U$121:$U$133),4,1)</f>
        <v>-2.1246179075288816</v>
      </c>
      <c r="I8" s="200">
        <f t="shared" si="0"/>
        <v>0</v>
      </c>
      <c r="AR8" s="159"/>
      <c r="AS8" s="158">
        <f>F28</f>
        <v>2000</v>
      </c>
      <c r="AT8" s="158">
        <v>0</v>
      </c>
      <c r="AU8" s="158">
        <f>F32</f>
        <v>1000</v>
      </c>
      <c r="AV8" s="158">
        <f>G32</f>
        <v>100.00000040523661</v>
      </c>
      <c r="AW8" s="158">
        <f>F36</f>
        <v>1500</v>
      </c>
      <c r="AX8" s="158">
        <f>G36</f>
        <v>100.00000040523661</v>
      </c>
      <c r="AY8" s="158"/>
      <c r="AZ8" s="158"/>
      <c r="BA8" s="158">
        <f>BA4</f>
        <v>2011.8571428571429</v>
      </c>
      <c r="BB8" s="158">
        <v>-20</v>
      </c>
    </row>
    <row r="9" spans="1:54" ht="15.75" thickBot="1" x14ac:dyDescent="0.3">
      <c r="A9" s="183" t="s">
        <v>77</v>
      </c>
      <c r="B9" s="187">
        <v>2.1670138892969124</v>
      </c>
      <c r="C9" s="188">
        <v>1</v>
      </c>
      <c r="D9" s="186">
        <v>30</v>
      </c>
      <c r="F9" s="183" t="s">
        <v>136</v>
      </c>
      <c r="G9" s="187">
        <v>1.0285714285714287</v>
      </c>
      <c r="H9" s="30">
        <f>INDEX(MMULT(MINVERSE($E$121:$Q$133),$U$121:$U$133),5,1)</f>
        <v>1.0285714285763219</v>
      </c>
      <c r="I9" s="200">
        <f t="shared" si="0"/>
        <v>0</v>
      </c>
      <c r="AR9" s="159"/>
      <c r="AS9" s="158">
        <v>0</v>
      </c>
      <c r="AT9" s="158">
        <v>0</v>
      </c>
      <c r="AU9" s="158">
        <f>AU1+G142*AB21</f>
        <v>504.55945181574612</v>
      </c>
      <c r="AV9" s="158">
        <f>AV1+G143*AB21</f>
        <v>86.117027099829414</v>
      </c>
      <c r="AW9" s="158">
        <f>AW1+G139*AB21</f>
        <v>1505.1428571428571</v>
      </c>
      <c r="AX9" s="158">
        <f>AX1+G140*AB21</f>
        <v>-13.450862675798181</v>
      </c>
      <c r="AY9" s="158">
        <f>AY1+G146*AB21</f>
        <v>1504.5594518157461</v>
      </c>
      <c r="AZ9" s="158">
        <f>AX16</f>
        <v>86.547232967525943</v>
      </c>
      <c r="BA9" s="158">
        <f>BA3</f>
        <v>2006.8571428571429</v>
      </c>
      <c r="BB9" s="158">
        <v>-25</v>
      </c>
    </row>
    <row r="10" spans="1:54" ht="15.75" thickBot="1" x14ac:dyDescent="0.3">
      <c r="A10" s="183" t="s">
        <v>78</v>
      </c>
      <c r="B10" s="187">
        <v>4.6333333328549857</v>
      </c>
      <c r="C10" s="188">
        <v>1</v>
      </c>
      <c r="D10" s="186">
        <v>30</v>
      </c>
      <c r="F10" s="183" t="s">
        <v>137</v>
      </c>
      <c r="G10" s="187">
        <v>-2.6901725351596362</v>
      </c>
      <c r="H10" s="30">
        <f>INDEX(MMULT(MINVERSE($E$121:$Q$133),$U$121:$U$133),6,1)</f>
        <v>-2.6901725351501868</v>
      </c>
      <c r="I10" s="200">
        <f t="shared" si="0"/>
        <v>0</v>
      </c>
      <c r="AR10" s="159"/>
      <c r="AS10" s="158">
        <f>AS2+G135*AB21</f>
        <v>501.71428571428572</v>
      </c>
      <c r="AT10" s="158">
        <f>AT2+G136*AB21</f>
        <v>-13.882020924450945</v>
      </c>
      <c r="AU10" s="158">
        <f>AU2+G144*AB21</f>
        <v>1006.2737375300318</v>
      </c>
      <c r="AV10" s="158">
        <f>AV2+G145*AB21</f>
        <v>89.380244201157041</v>
      </c>
      <c r="AW10" s="158">
        <f>AW2+G146*AB21</f>
        <v>1504.5594518157461</v>
      </c>
      <c r="AX10" s="158">
        <f>AX2+G147*AB21</f>
        <v>86.547232967525943</v>
      </c>
      <c r="AY10" s="158">
        <f>AY2+G141*AB21</f>
        <v>2006.8571428571429</v>
      </c>
      <c r="AZ10" s="158">
        <v>0</v>
      </c>
      <c r="BA10" s="158">
        <f>BA3-5</f>
        <v>2001.8571428571429</v>
      </c>
      <c r="BB10" s="158">
        <v>-20</v>
      </c>
    </row>
    <row r="11" spans="1:54" ht="15.75" thickBot="1" x14ac:dyDescent="0.3">
      <c r="A11" s="183" t="s">
        <v>79</v>
      </c>
      <c r="B11" s="187">
        <v>4.3944444449227875</v>
      </c>
      <c r="C11" s="188">
        <v>1</v>
      </c>
      <c r="D11" s="186">
        <v>30</v>
      </c>
      <c r="F11" s="183" t="s">
        <v>138</v>
      </c>
      <c r="G11" s="187">
        <v>1.3714285714285714</v>
      </c>
      <c r="H11" s="30">
        <f>INDEX(MMULT(MINVERSE($E$121:$Q$133),$U$121:$U$133),7,1)</f>
        <v>1.3714285714334695</v>
      </c>
      <c r="I11" s="200">
        <f t="shared" si="0"/>
        <v>0</v>
      </c>
      <c r="AR11" s="159"/>
      <c r="AS11" s="158">
        <f>AS10</f>
        <v>501.71428571428572</v>
      </c>
      <c r="AT11" s="158">
        <f>G136*AB21</f>
        <v>-13.882020924450945</v>
      </c>
      <c r="AU11" s="158">
        <f>AU10</f>
        <v>1006.2737375300318</v>
      </c>
      <c r="AV11" s="158">
        <f>AV10</f>
        <v>89.380244201157041</v>
      </c>
      <c r="AW11" s="158">
        <v>0</v>
      </c>
      <c r="AX11" s="158">
        <v>0</v>
      </c>
      <c r="AY11" s="158"/>
      <c r="AZ11" s="158"/>
      <c r="BA11" s="158">
        <f>BA3-10</f>
        <v>1996.8571428571429</v>
      </c>
      <c r="BB11" s="158">
        <v>-15</v>
      </c>
    </row>
    <row r="12" spans="1:54" ht="15.75" thickBot="1" x14ac:dyDescent="0.3">
      <c r="A12" s="183" t="s">
        <v>80</v>
      </c>
      <c r="B12" s="187">
        <v>1</v>
      </c>
      <c r="C12" s="188">
        <v>1</v>
      </c>
      <c r="D12" s="186">
        <v>30</v>
      </c>
      <c r="F12" s="183" t="s">
        <v>139</v>
      </c>
      <c r="G12" s="187">
        <v>0.91189036314922212</v>
      </c>
      <c r="H12" s="30">
        <f>INDEX(MMULT(MINVERSE($E$121:$Q$133),$U$121:$U$133),8,1)</f>
        <v>0.91189036315602201</v>
      </c>
      <c r="I12" s="200">
        <f t="shared" si="0"/>
        <v>0</v>
      </c>
      <c r="AR12" s="159"/>
      <c r="AS12" s="158">
        <f>AS4+G137*AB21</f>
        <v>1003.4285714285714</v>
      </c>
      <c r="AT12" s="158">
        <f>G138*AB21</f>
        <v>-10.623089537426358</v>
      </c>
      <c r="AU12" s="158">
        <f>G146*AB21+AU4</f>
        <v>1504.5594518157461</v>
      </c>
      <c r="AV12" s="158">
        <f>AV4+G147*AB21</f>
        <v>86.547232967525943</v>
      </c>
      <c r="AW12" s="158">
        <f>AW4+G142*AB21</f>
        <v>504.55945181574612</v>
      </c>
      <c r="AX12" s="158">
        <f>AX5+G143*AB21</f>
        <v>86.117027099829414</v>
      </c>
      <c r="AY12" s="158">
        <v>-25</v>
      </c>
      <c r="AZ12" s="158">
        <v>-25</v>
      </c>
      <c r="BA12" s="158">
        <f>BA3-12.5</f>
        <v>1994.3571428571429</v>
      </c>
      <c r="BB12" s="158">
        <v>-12.5</v>
      </c>
    </row>
    <row r="13" spans="1:54" ht="15.75" thickBot="1" x14ac:dyDescent="0.3">
      <c r="A13" s="183" t="s">
        <v>81</v>
      </c>
      <c r="B13" s="187">
        <v>1.0000000000137976</v>
      </c>
      <c r="C13" s="188">
        <v>1</v>
      </c>
      <c r="D13" s="186">
        <v>30</v>
      </c>
      <c r="F13" s="183" t="s">
        <v>140</v>
      </c>
      <c r="G13" s="187">
        <v>-2.7765946610814369</v>
      </c>
      <c r="H13" s="30">
        <f>INDEX(MMULT(MINVERSE($E$121:$Q$133),$U$121:$U$133),9,1)</f>
        <v>-2.7765946611154786</v>
      </c>
      <c r="I13" s="200">
        <f t="shared" si="0"/>
        <v>0</v>
      </c>
      <c r="AR13" s="159"/>
      <c r="AS13" s="158">
        <f>AS12</f>
        <v>1003.4285714285714</v>
      </c>
      <c r="AT13" s="158">
        <f>AT12</f>
        <v>-10.623089537426358</v>
      </c>
      <c r="AU13" s="158">
        <f>AU5+G135*AB21</f>
        <v>501.71428571428572</v>
      </c>
      <c r="AV13" s="158">
        <f>AV5+G136*AB21</f>
        <v>-13.882020924450945</v>
      </c>
      <c r="AW13" s="158">
        <f>AW4+G142*AB21</f>
        <v>504.55945181574612</v>
      </c>
      <c r="AX13" s="158">
        <f>AX12</f>
        <v>86.117027099829414</v>
      </c>
      <c r="AY13" s="158">
        <v>0</v>
      </c>
      <c r="AZ13" s="158">
        <v>0</v>
      </c>
      <c r="BA13" s="158">
        <f>BA12+2.5</f>
        <v>1996.8571428571429</v>
      </c>
      <c r="BB13" s="158">
        <v>-10</v>
      </c>
    </row>
    <row r="14" spans="1:54" ht="15.75" thickBot="1" x14ac:dyDescent="0.3">
      <c r="A14" s="183" t="s">
        <v>82</v>
      </c>
      <c r="B14" s="187">
        <v>1</v>
      </c>
      <c r="C14" s="188">
        <v>1</v>
      </c>
      <c r="D14" s="186">
        <v>30</v>
      </c>
      <c r="F14" s="183" t="s">
        <v>141</v>
      </c>
      <c r="G14" s="187">
        <v>1.2547475060063651</v>
      </c>
      <c r="H14" s="30">
        <f>INDEX(MMULT(MINVERSE($E$121:$Q$133),$U$121:$U$133),10,1)</f>
        <v>1.2547475060131594</v>
      </c>
      <c r="I14" s="200">
        <f t="shared" si="0"/>
        <v>0</v>
      </c>
      <c r="AR14" s="159"/>
      <c r="AS14" s="158">
        <f>AS6+G139*AB21</f>
        <v>1505.1428571428571</v>
      </c>
      <c r="AT14" s="158">
        <f>AT6+G140*AB21</f>
        <v>-13.450862675798181</v>
      </c>
      <c r="AU14" s="158">
        <f>AU6+G142*AB21</f>
        <v>504.55945181574612</v>
      </c>
      <c r="AV14" s="158">
        <f>AV6+G143*AB21</f>
        <v>86.117027099829414</v>
      </c>
      <c r="AW14" s="158">
        <f>AW6+G137*AB21</f>
        <v>1003.4285714285714</v>
      </c>
      <c r="AX14" s="158">
        <f>AX6+G138*AB21</f>
        <v>-10.623089537426358</v>
      </c>
      <c r="AY14" s="158">
        <v>25</v>
      </c>
      <c r="AZ14" s="158">
        <v>-25</v>
      </c>
      <c r="BA14" s="158">
        <f>BA13+5</f>
        <v>2001.8571428571429</v>
      </c>
      <c r="BB14" s="158">
        <v>-5</v>
      </c>
    </row>
    <row r="15" spans="1:54" ht="15.75" thickBot="1" x14ac:dyDescent="0.3">
      <c r="A15" s="183" t="s">
        <v>83</v>
      </c>
      <c r="B15" s="187">
        <v>2.3947686785165123</v>
      </c>
      <c r="C15" s="188">
        <v>1</v>
      </c>
      <c r="D15" s="186">
        <v>30</v>
      </c>
      <c r="F15" s="183" t="s">
        <v>142</v>
      </c>
      <c r="G15" s="187">
        <v>-2.1239512408159125</v>
      </c>
      <c r="H15" s="30">
        <f>INDEX(MMULT(MINVERSE($E$121:$Q$133),$U$121:$U$133),11,1)</f>
        <v>-2.1239512408595229</v>
      </c>
      <c r="I15" s="200">
        <f t="shared" si="0"/>
        <v>0</v>
      </c>
      <c r="AR15" s="159"/>
      <c r="AS15" s="158">
        <f>AS14</f>
        <v>1505.1428571428571</v>
      </c>
      <c r="AT15" s="158">
        <f>AT14</f>
        <v>-13.450862675798181</v>
      </c>
      <c r="AU15" s="158">
        <f>AU7+G137*AB21</f>
        <v>1003.4285714285714</v>
      </c>
      <c r="AV15" s="158">
        <f>AV7+G138*AB21</f>
        <v>-10.623089537426358</v>
      </c>
      <c r="AW15" s="158">
        <f>AW14</f>
        <v>1003.4285714285714</v>
      </c>
      <c r="AX15" s="158">
        <f>AX14</f>
        <v>-10.623089537426358</v>
      </c>
      <c r="AY15" s="158">
        <v>-25</v>
      </c>
      <c r="AZ15" s="158">
        <v>-25</v>
      </c>
      <c r="BA15" s="158">
        <f>BA3</f>
        <v>2006.8571428571429</v>
      </c>
      <c r="BB15" s="158">
        <v>0</v>
      </c>
    </row>
    <row r="16" spans="1:54" ht="15.75" thickBot="1" x14ac:dyDescent="0.3">
      <c r="A16" s="183" t="s">
        <v>167</v>
      </c>
      <c r="B16" s="187">
        <v>2.3381129063639743</v>
      </c>
      <c r="C16" s="188">
        <v>1</v>
      </c>
      <c r="D16" s="186">
        <v>30</v>
      </c>
      <c r="F16" s="183" t="s">
        <v>143</v>
      </c>
      <c r="G16" s="187">
        <v>0.91189036314922212</v>
      </c>
      <c r="H16" s="30">
        <f>INDEX(MMULT(MINVERSE($E$121:$Q$133),$U$121:$U$133),12,1)</f>
        <v>0.91189036315601102</v>
      </c>
      <c r="I16" s="200">
        <f t="shared" si="0"/>
        <v>0</v>
      </c>
      <c r="AR16" s="159"/>
      <c r="AS16" s="158">
        <f>AS8+G141*AB21</f>
        <v>2006.8571428571429</v>
      </c>
      <c r="AT16" s="158">
        <v>0</v>
      </c>
      <c r="AU16" s="158">
        <f>AU8+G144*AB21</f>
        <v>1006.2737375300318</v>
      </c>
      <c r="AV16" s="158">
        <f>AV8+G145*AB21</f>
        <v>89.380244201157041</v>
      </c>
      <c r="AW16" s="158">
        <f>AW8+G146*AB21</f>
        <v>1504.5594518157461</v>
      </c>
      <c r="AX16" s="158">
        <f>AX8+G147*AB21</f>
        <v>86.547232967525943</v>
      </c>
      <c r="AY16" s="158"/>
      <c r="AZ16" s="158"/>
      <c r="BA16" s="158">
        <f>BA9-25</f>
        <v>1981.8571428571429</v>
      </c>
      <c r="BB16" s="158">
        <v>-25</v>
      </c>
    </row>
    <row r="17" spans="1:54" ht="15.75" thickBot="1" x14ac:dyDescent="0.3">
      <c r="A17" s="183" t="s">
        <v>168</v>
      </c>
      <c r="B17" s="187">
        <v>7.222189242801373</v>
      </c>
      <c r="C17" s="188">
        <v>1</v>
      </c>
      <c r="D17" s="186">
        <v>30</v>
      </c>
      <c r="F17" s="183" t="s">
        <v>144</v>
      </c>
      <c r="G17" s="187">
        <v>-2.690553487542132</v>
      </c>
      <c r="H17" s="30">
        <f>INDEX(MMULT(MINVERSE($E$121:$Q$133),$U$121:$U$133),13,1)</f>
        <v>-2.6905534875326835</v>
      </c>
      <c r="I17" s="200">
        <f t="shared" si="0"/>
        <v>0</v>
      </c>
      <c r="AR17" s="159"/>
      <c r="AS17" s="158"/>
      <c r="AT17" s="158"/>
      <c r="AU17" s="158"/>
      <c r="AV17" s="158"/>
      <c r="AW17" s="158"/>
      <c r="AX17" s="158"/>
      <c r="AY17" s="158"/>
      <c r="AZ17" s="158"/>
      <c r="BA17" s="158">
        <f>BA9</f>
        <v>2006.8571428571429</v>
      </c>
      <c r="BB17" s="158">
        <v>-25</v>
      </c>
    </row>
    <row r="18" spans="1:54" ht="15.75" thickBot="1" x14ac:dyDescent="0.3">
      <c r="A18" s="183" t="s">
        <v>169</v>
      </c>
      <c r="B18" s="187">
        <v>2.2035554475017669</v>
      </c>
      <c r="C18" s="188">
        <v>1</v>
      </c>
      <c r="D18" s="186">
        <v>30</v>
      </c>
      <c r="AR18" s="159"/>
      <c r="AS18" s="158"/>
      <c r="AT18" s="158"/>
      <c r="AU18" s="158"/>
      <c r="AV18" s="158"/>
      <c r="AW18" s="158"/>
      <c r="AX18" s="158"/>
      <c r="AY18" s="158"/>
      <c r="AZ18" s="158"/>
      <c r="BA18" s="158">
        <f>BA17+25</f>
        <v>2031.8571428571429</v>
      </c>
      <c r="BB18" s="158">
        <v>-25</v>
      </c>
    </row>
    <row r="19" spans="1:54" x14ac:dyDescent="0.25">
      <c r="A19" s="159"/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AR19" s="202"/>
      <c r="AS19" s="203"/>
      <c r="AT19" s="203"/>
      <c r="AU19" s="203"/>
      <c r="AV19" s="203"/>
      <c r="AW19" s="203"/>
      <c r="AX19" s="203"/>
      <c r="AY19" s="203"/>
      <c r="AZ19" s="203"/>
      <c r="BA19" s="203"/>
      <c r="BB19" s="203"/>
    </row>
    <row r="20" spans="1:54" ht="15.75" thickBot="1" x14ac:dyDescent="0.3">
      <c r="L20" s="159"/>
      <c r="M20" s="159"/>
      <c r="N20" s="159"/>
      <c r="AR20" s="202"/>
      <c r="AS20" s="203"/>
      <c r="AT20" s="203"/>
      <c r="AU20" s="203"/>
      <c r="AV20" s="203"/>
      <c r="AW20" s="203"/>
      <c r="AX20" s="203"/>
      <c r="AY20" s="203"/>
      <c r="AZ20" s="203"/>
      <c r="BA20" s="203"/>
      <c r="BB20" s="203"/>
    </row>
    <row r="21" spans="1:54" ht="15.75" thickBot="1" x14ac:dyDescent="0.3">
      <c r="D21" s="183" t="s">
        <v>1</v>
      </c>
      <c r="E21" s="221">
        <v>500</v>
      </c>
      <c r="X21" s="271" t="s">
        <v>157</v>
      </c>
      <c r="Y21" s="271"/>
      <c r="Z21" s="271"/>
      <c r="AA21" s="271"/>
      <c r="AB21" s="74">
        <v>5</v>
      </c>
      <c r="AR21" s="202"/>
      <c r="AS21" s="203"/>
      <c r="AT21" s="203"/>
      <c r="AU21" s="203"/>
      <c r="AV21" s="203"/>
      <c r="AW21" s="203"/>
      <c r="AX21" s="203"/>
      <c r="AY21" s="203"/>
      <c r="AZ21" s="203"/>
      <c r="BA21" s="203"/>
      <c r="BB21" s="203"/>
    </row>
    <row r="22" spans="1:54" ht="15.75" thickBot="1" x14ac:dyDescent="0.3">
      <c r="E22" s="159"/>
      <c r="F22" s="159"/>
      <c r="G22" s="159"/>
      <c r="H22" s="159"/>
      <c r="I22" s="159"/>
      <c r="J22" s="160"/>
      <c r="K22" s="160"/>
      <c r="L22" s="160"/>
      <c r="M22" s="160"/>
      <c r="N22" s="161"/>
      <c r="O22" s="162">
        <f>ROUND(1/N23,3)</f>
        <v>0.6</v>
      </c>
      <c r="AR22" s="202"/>
      <c r="AS22" s="203"/>
      <c r="AT22" s="203"/>
      <c r="AU22" s="203"/>
      <c r="AV22" s="203"/>
      <c r="AW22" s="203"/>
      <c r="AX22" s="203"/>
      <c r="AY22" s="203"/>
      <c r="AZ22" s="203"/>
      <c r="BA22" s="203"/>
      <c r="BB22" s="203"/>
    </row>
    <row r="23" spans="1:54" ht="12.75" customHeight="1" thickBot="1" x14ac:dyDescent="0.3">
      <c r="B23" s="252" t="s">
        <v>42</v>
      </c>
      <c r="C23" s="241" t="s">
        <v>43</v>
      </c>
      <c r="D23" s="254" t="s">
        <v>44</v>
      </c>
      <c r="E23" s="255"/>
      <c r="F23" s="254" t="s">
        <v>45</v>
      </c>
      <c r="G23" s="255"/>
      <c r="H23" s="241" t="s">
        <v>38</v>
      </c>
      <c r="I23" s="250" t="s">
        <v>46</v>
      </c>
      <c r="J23" s="241" t="s">
        <v>47</v>
      </c>
      <c r="K23" s="242" t="s">
        <v>48</v>
      </c>
      <c r="L23" s="251" t="s">
        <v>49</v>
      </c>
      <c r="M23" s="88" t="s">
        <v>50</v>
      </c>
      <c r="N23" s="87">
        <v>1.667</v>
      </c>
      <c r="O23" s="274" t="s">
        <v>51</v>
      </c>
      <c r="R23" s="161"/>
      <c r="S23" s="161"/>
      <c r="AR23" s="202"/>
      <c r="AS23" s="203"/>
      <c r="AT23" s="203"/>
      <c r="AU23" s="203"/>
      <c r="AV23" s="203"/>
      <c r="AW23" s="203"/>
      <c r="AX23" s="203"/>
      <c r="AY23" s="203"/>
      <c r="AZ23" s="203"/>
      <c r="BA23" s="203"/>
      <c r="BB23" s="203"/>
    </row>
    <row r="24" spans="1:54" ht="12.75" customHeight="1" x14ac:dyDescent="0.25">
      <c r="B24" s="253"/>
      <c r="C24" s="242"/>
      <c r="D24" s="88" t="s">
        <v>52</v>
      </c>
      <c r="E24" s="88" t="s">
        <v>53</v>
      </c>
      <c r="F24" s="88" t="s">
        <v>52</v>
      </c>
      <c r="G24" s="88" t="s">
        <v>53</v>
      </c>
      <c r="H24" s="242"/>
      <c r="I24" s="251"/>
      <c r="J24" s="242"/>
      <c r="K24" s="244"/>
      <c r="L24" s="246"/>
      <c r="M24" s="223" t="str">
        <f>O22&amp;J23</f>
        <v>0.6Fy</v>
      </c>
      <c r="N24" s="224"/>
      <c r="O24" s="248"/>
      <c r="Q24" s="78" t="s">
        <v>64</v>
      </c>
      <c r="R24" s="189" t="s">
        <v>65</v>
      </c>
      <c r="S24" s="189" t="s">
        <v>66</v>
      </c>
      <c r="T24" s="180" t="s">
        <v>67</v>
      </c>
      <c r="U24" s="81" t="s">
        <v>68</v>
      </c>
      <c r="V24" s="82" t="s">
        <v>69</v>
      </c>
      <c r="W24" s="182" t="s">
        <v>70</v>
      </c>
      <c r="AR24" s="202"/>
      <c r="AS24" s="202"/>
      <c r="AT24" s="202"/>
      <c r="AU24" s="202"/>
      <c r="AV24" s="202"/>
      <c r="AW24" s="202"/>
      <c r="AX24" s="202"/>
      <c r="AY24" s="202"/>
      <c r="AZ24" s="202"/>
      <c r="BA24" s="202"/>
      <c r="BB24" s="202"/>
    </row>
    <row r="25" spans="1:54" x14ac:dyDescent="0.25">
      <c r="B25" s="84">
        <v>1</v>
      </c>
      <c r="C25" s="46">
        <f>E21</f>
        <v>500</v>
      </c>
      <c r="D25" s="20">
        <v>0</v>
      </c>
      <c r="E25" s="20">
        <v>0</v>
      </c>
      <c r="F25" s="20">
        <f>C25</f>
        <v>500</v>
      </c>
      <c r="G25" s="20">
        <v>0</v>
      </c>
      <c r="H25" s="46">
        <f>B6</f>
        <v>1.0020833333333332</v>
      </c>
      <c r="I25" s="22">
        <v>2100000</v>
      </c>
      <c r="J25" s="21">
        <v>2400</v>
      </c>
      <c r="K25" s="20">
        <f>ROUND(O42,3)</f>
        <v>1443</v>
      </c>
      <c r="L25" s="196">
        <f>ABS(H42*M41+I42*M42+J42*M43+K42*M44)/B6</f>
        <v>1440</v>
      </c>
      <c r="M25" s="197">
        <f>O22*J25</f>
        <v>1440</v>
      </c>
      <c r="N25" s="212" t="str">
        <f>IF(L25&gt;M25,"over stress","")</f>
        <v/>
      </c>
      <c r="O25" s="232">
        <f>ROUND(L25/M25,2)</f>
        <v>1</v>
      </c>
      <c r="Q25" s="58">
        <v>1</v>
      </c>
      <c r="R25" s="20">
        <v>0</v>
      </c>
      <c r="S25" s="20">
        <v>0</v>
      </c>
      <c r="T25" s="59">
        <v>1</v>
      </c>
      <c r="U25" s="60">
        <v>2</v>
      </c>
      <c r="V25" s="61">
        <v>0</v>
      </c>
      <c r="W25" s="24">
        <v>0</v>
      </c>
      <c r="AR25" s="202"/>
      <c r="AS25" s="202"/>
      <c r="AT25" s="202"/>
      <c r="AU25" s="202"/>
      <c r="AV25" s="202"/>
      <c r="AW25" s="202"/>
      <c r="AX25" s="202"/>
      <c r="AY25" s="202"/>
      <c r="AZ25" s="202"/>
      <c r="BA25" s="202"/>
      <c r="BB25" s="202"/>
    </row>
    <row r="26" spans="1:54" x14ac:dyDescent="0.25">
      <c r="B26" s="84">
        <v>2</v>
      </c>
      <c r="C26" s="164">
        <f>C25</f>
        <v>500</v>
      </c>
      <c r="D26" s="20">
        <f>C26</f>
        <v>500</v>
      </c>
      <c r="E26" s="20">
        <v>0</v>
      </c>
      <c r="F26" s="20">
        <f>D26*2</f>
        <v>1000</v>
      </c>
      <c r="G26" s="20">
        <v>0</v>
      </c>
      <c r="H26" s="46">
        <f>B7</f>
        <v>1</v>
      </c>
      <c r="I26" s="22">
        <v>2100000</v>
      </c>
      <c r="J26" s="21">
        <v>2400</v>
      </c>
      <c r="K26" s="20">
        <f>ROUND(O48,3)</f>
        <v>1440</v>
      </c>
      <c r="L26" s="23">
        <f>ABS(H48*M47+I48*M48+J48*M49+K48*M50)/B7</f>
        <v>1440</v>
      </c>
      <c r="M26" s="20">
        <f>J26*O22</f>
        <v>1440</v>
      </c>
      <c r="N26" s="212" t="str">
        <f t="shared" ref="N26:N37" si="1">IF(L26&gt;M26,"over stress","")</f>
        <v/>
      </c>
      <c r="O26" s="232">
        <f t="shared" ref="O26:O37" si="2">ROUND(L26/M26,2)</f>
        <v>1</v>
      </c>
      <c r="Q26" s="193">
        <v>2</v>
      </c>
      <c r="R26" s="155">
        <f>D26</f>
        <v>500</v>
      </c>
      <c r="S26" s="155">
        <v>0</v>
      </c>
      <c r="T26" s="59">
        <v>3</v>
      </c>
      <c r="U26" s="60">
        <v>4</v>
      </c>
      <c r="V26" s="62">
        <f>ROUND(G135,4)</f>
        <v>0.34289999999999998</v>
      </c>
      <c r="W26" s="130">
        <f>ROUND(G136,4)</f>
        <v>-2.7764000000000002</v>
      </c>
      <c r="AR26" s="202"/>
      <c r="AS26" s="202"/>
      <c r="AT26" s="202"/>
      <c r="AU26" s="202"/>
      <c r="AV26" s="202"/>
      <c r="AW26" s="202"/>
      <c r="AX26" s="202"/>
      <c r="AY26" s="202"/>
      <c r="AZ26" s="202"/>
      <c r="BA26" s="202"/>
      <c r="BB26" s="202"/>
    </row>
    <row r="27" spans="1:54" x14ac:dyDescent="0.25">
      <c r="B27" s="84">
        <v>3</v>
      </c>
      <c r="C27" s="164">
        <f>C25</f>
        <v>500</v>
      </c>
      <c r="D27" s="20">
        <f>F26</f>
        <v>1000</v>
      </c>
      <c r="E27" s="20">
        <v>0</v>
      </c>
      <c r="F27" s="20">
        <f>D26*3</f>
        <v>1500</v>
      </c>
      <c r="G27" s="20">
        <v>0</v>
      </c>
      <c r="H27" s="46">
        <f t="shared" ref="H27:H36" si="3">B8</f>
        <v>2.1670138892969129</v>
      </c>
      <c r="I27" s="22">
        <v>2100000</v>
      </c>
      <c r="J27" s="21">
        <v>2400</v>
      </c>
      <c r="K27" s="20">
        <f>ROUND(O54,3)</f>
        <v>3120.5</v>
      </c>
      <c r="L27" s="196">
        <f>ABS(H54*M53+I54*M54+J54*M55+K54*M56)/B8</f>
        <v>1440.0000000000009</v>
      </c>
      <c r="M27" s="197">
        <f>J27*O22</f>
        <v>1440</v>
      </c>
      <c r="N27" s="212" t="str">
        <f t="shared" si="1"/>
        <v/>
      </c>
      <c r="O27" s="232">
        <f t="shared" si="2"/>
        <v>1</v>
      </c>
      <c r="Q27" s="58">
        <v>3</v>
      </c>
      <c r="R27" s="20">
        <f>D27</f>
        <v>1000</v>
      </c>
      <c r="S27" s="20">
        <v>0</v>
      </c>
      <c r="T27" s="59">
        <v>5</v>
      </c>
      <c r="U27" s="60">
        <v>0</v>
      </c>
      <c r="V27" s="62">
        <f>ROUND(G137,4)</f>
        <v>0.68569999999999998</v>
      </c>
      <c r="W27" s="130">
        <f>ROUND(G138,4)</f>
        <v>-2.1246</v>
      </c>
    </row>
    <row r="28" spans="1:54" x14ac:dyDescent="0.25">
      <c r="B28" s="84">
        <v>4</v>
      </c>
      <c r="C28" s="164">
        <f>C25</f>
        <v>500</v>
      </c>
      <c r="D28" s="20">
        <f>F27</f>
        <v>1500</v>
      </c>
      <c r="E28" s="20">
        <v>0</v>
      </c>
      <c r="F28" s="20">
        <f>D26*4</f>
        <v>2000</v>
      </c>
      <c r="G28" s="20">
        <v>0</v>
      </c>
      <c r="H28" s="46">
        <f t="shared" si="3"/>
        <v>2.1670138892969124</v>
      </c>
      <c r="I28" s="22">
        <v>2100000</v>
      </c>
      <c r="J28" s="21">
        <v>2400</v>
      </c>
      <c r="K28" s="20">
        <f>ROUND(O60,3)</f>
        <v>3120.5</v>
      </c>
      <c r="L28" s="163">
        <f>ABS(H60*M59+I60*M60+J60*M61+K60*M62)/B9</f>
        <v>1439.9999999999991</v>
      </c>
      <c r="M28" s="20">
        <f>O22*J28</f>
        <v>1440</v>
      </c>
      <c r="N28" s="212" t="str">
        <f t="shared" si="1"/>
        <v/>
      </c>
      <c r="O28" s="232">
        <f t="shared" si="2"/>
        <v>1</v>
      </c>
      <c r="Q28" s="193">
        <v>4</v>
      </c>
      <c r="R28" s="155">
        <f>D28</f>
        <v>1500</v>
      </c>
      <c r="S28" s="155">
        <v>0</v>
      </c>
      <c r="T28" s="59">
        <v>0</v>
      </c>
      <c r="U28" s="60">
        <v>8</v>
      </c>
      <c r="V28" s="62">
        <f>ROUND(G139,4)</f>
        <v>1.0286</v>
      </c>
      <c r="W28" s="130">
        <f>ROUND(G140,4)</f>
        <v>-2.6901999999999999</v>
      </c>
    </row>
    <row r="29" spans="1:54" x14ac:dyDescent="0.25">
      <c r="B29" s="84">
        <v>5</v>
      </c>
      <c r="C29" s="164">
        <f>C25</f>
        <v>500</v>
      </c>
      <c r="D29" s="20">
        <f>D26</f>
        <v>500</v>
      </c>
      <c r="E29" s="20">
        <f>C31</f>
        <v>100.00000040523661</v>
      </c>
      <c r="F29" s="20">
        <f>F26</f>
        <v>1000</v>
      </c>
      <c r="G29" s="20">
        <f>C31</f>
        <v>100.00000040523661</v>
      </c>
      <c r="H29" s="46">
        <f t="shared" si="3"/>
        <v>4.6333333328549857</v>
      </c>
      <c r="I29" s="22">
        <v>2100000</v>
      </c>
      <c r="J29" s="21">
        <v>2400</v>
      </c>
      <c r="K29" s="20">
        <f>ROUND(O66,3)</f>
        <v>6672</v>
      </c>
      <c r="L29" s="196">
        <f>ABS(H66*M65+I66*M66+J66*M67+K66*M68)/B10</f>
        <v>1440.0000000000011</v>
      </c>
      <c r="M29" s="197">
        <f>O22*J29</f>
        <v>1440</v>
      </c>
      <c r="N29" s="212" t="str">
        <f t="shared" si="1"/>
        <v/>
      </c>
      <c r="O29" s="232">
        <f t="shared" si="2"/>
        <v>1</v>
      </c>
      <c r="Q29" s="58">
        <v>5</v>
      </c>
      <c r="R29" s="20">
        <f>F28</f>
        <v>2000</v>
      </c>
      <c r="S29" s="20">
        <v>0</v>
      </c>
      <c r="T29" s="59">
        <v>9</v>
      </c>
      <c r="U29" s="60">
        <v>10</v>
      </c>
      <c r="V29" s="62">
        <f>ROUND(G141,4)</f>
        <v>1.3714</v>
      </c>
      <c r="W29" s="24">
        <v>0</v>
      </c>
    </row>
    <row r="30" spans="1:54" x14ac:dyDescent="0.25">
      <c r="B30" s="84">
        <v>6</v>
      </c>
      <c r="C30" s="164">
        <f>C25</f>
        <v>500</v>
      </c>
      <c r="D30" s="20">
        <f>D27</f>
        <v>1000</v>
      </c>
      <c r="E30" s="20">
        <f>C31</f>
        <v>100.00000040523661</v>
      </c>
      <c r="F30" s="20">
        <f>F27</f>
        <v>1500</v>
      </c>
      <c r="G30" s="20">
        <f>C31</f>
        <v>100.00000040523661</v>
      </c>
      <c r="H30" s="46">
        <f t="shared" si="3"/>
        <v>4.3944444449227875</v>
      </c>
      <c r="I30" s="22">
        <v>2100000</v>
      </c>
      <c r="J30" s="21">
        <v>2400</v>
      </c>
      <c r="K30" s="20">
        <f>ROUND(O72,3)</f>
        <v>-6328</v>
      </c>
      <c r="L30" s="163">
        <f>ABS(H72*M71+I72*M72+J72*M73+K72*M74)/B11</f>
        <v>1440.0000000000002</v>
      </c>
      <c r="M30" s="20">
        <f>O22*J30</f>
        <v>1440</v>
      </c>
      <c r="N30" s="212" t="str">
        <f t="shared" si="1"/>
        <v/>
      </c>
      <c r="O30" s="232">
        <f t="shared" si="2"/>
        <v>1</v>
      </c>
      <c r="Q30" s="193">
        <v>6</v>
      </c>
      <c r="R30" s="155">
        <f>D29</f>
        <v>500</v>
      </c>
      <c r="S30" s="155">
        <f>E29</f>
        <v>100.00000040523661</v>
      </c>
      <c r="T30" s="59">
        <v>11</v>
      </c>
      <c r="U30" s="60">
        <v>12</v>
      </c>
      <c r="V30" s="62">
        <f>ROUND(G142,4)</f>
        <v>0.91190000000000004</v>
      </c>
      <c r="W30" s="130">
        <f>ROUND(G143,4)</f>
        <v>-2.7766000000000002</v>
      </c>
    </row>
    <row r="31" spans="1:54" x14ac:dyDescent="0.25">
      <c r="B31" s="84">
        <v>7</v>
      </c>
      <c r="C31" s="201">
        <f>B5</f>
        <v>100.00000040523661</v>
      </c>
      <c r="D31" s="20">
        <f>D26</f>
        <v>500</v>
      </c>
      <c r="E31" s="20">
        <v>0</v>
      </c>
      <c r="F31" s="20">
        <f>D31</f>
        <v>500</v>
      </c>
      <c r="G31" s="20">
        <f>C31</f>
        <v>100.00000040523661</v>
      </c>
      <c r="H31" s="46">
        <f t="shared" si="3"/>
        <v>1</v>
      </c>
      <c r="I31" s="22">
        <v>2100000</v>
      </c>
      <c r="J31" s="21">
        <v>2400</v>
      </c>
      <c r="K31" s="20">
        <f>ROUND(O78,3)</f>
        <v>-4</v>
      </c>
      <c r="L31" s="196">
        <f>ABS(H78*M77+I78*M78+J78*M79+K78*M80)/B12</f>
        <v>4</v>
      </c>
      <c r="M31" s="197">
        <f>O22*J31</f>
        <v>1440</v>
      </c>
      <c r="N31" s="212" t="str">
        <f t="shared" si="1"/>
        <v/>
      </c>
      <c r="O31" s="232">
        <f t="shared" si="2"/>
        <v>0</v>
      </c>
      <c r="Q31" s="58">
        <v>7</v>
      </c>
      <c r="R31" s="20">
        <f>F29</f>
        <v>1000</v>
      </c>
      <c r="S31" s="20">
        <f>G32</f>
        <v>100.00000040523661</v>
      </c>
      <c r="T31" s="59">
        <v>13000</v>
      </c>
      <c r="U31" s="60">
        <v>14</v>
      </c>
      <c r="V31" s="62">
        <f>ROUND(G144,4)</f>
        <v>1.2546999999999999</v>
      </c>
      <c r="W31" s="130">
        <f>ROUND(G145,4)</f>
        <v>-2.1240000000000001</v>
      </c>
    </row>
    <row r="32" spans="1:54" ht="15.75" thickBot="1" x14ac:dyDescent="0.3">
      <c r="B32" s="84">
        <v>8</v>
      </c>
      <c r="C32" s="164">
        <f>C31</f>
        <v>100.00000040523661</v>
      </c>
      <c r="D32" s="20">
        <f>D30</f>
        <v>1000</v>
      </c>
      <c r="E32" s="20">
        <v>0</v>
      </c>
      <c r="F32" s="20">
        <f>D32</f>
        <v>1000</v>
      </c>
      <c r="G32" s="20">
        <f>G31</f>
        <v>100.00000040523661</v>
      </c>
      <c r="H32" s="46">
        <f t="shared" si="3"/>
        <v>1.0000000000137976</v>
      </c>
      <c r="I32" s="22">
        <v>2100000</v>
      </c>
      <c r="J32" s="21">
        <v>2400</v>
      </c>
      <c r="K32" s="20">
        <f>ROUND(O84,3)</f>
        <v>14</v>
      </c>
      <c r="L32" s="163">
        <f>ABS(H84*M83+I84*M84+J84*M85+K84*M86)/B13</f>
        <v>13.999999999806834</v>
      </c>
      <c r="M32" s="20">
        <f>O22*J32</f>
        <v>1440</v>
      </c>
      <c r="N32" s="212" t="str">
        <f t="shared" si="1"/>
        <v/>
      </c>
      <c r="O32" s="232">
        <f t="shared" si="2"/>
        <v>0.01</v>
      </c>
      <c r="Q32" s="194">
        <v>8</v>
      </c>
      <c r="R32" s="195">
        <f>F30</f>
        <v>1500</v>
      </c>
      <c r="S32" s="195">
        <f>G30</f>
        <v>100.00000040523661</v>
      </c>
      <c r="T32" s="65">
        <v>15</v>
      </c>
      <c r="U32" s="165">
        <v>16</v>
      </c>
      <c r="V32" s="67">
        <f>ROUND(G146,4)</f>
        <v>0.91190000000000004</v>
      </c>
      <c r="W32" s="68">
        <f>ROUND(G147,4)</f>
        <v>-2.6905999999999999</v>
      </c>
    </row>
    <row r="33" spans="1:18" ht="15.75" thickBot="1" x14ac:dyDescent="0.3">
      <c r="B33" s="84">
        <v>9</v>
      </c>
      <c r="C33" s="164">
        <f>C31</f>
        <v>100.00000040523661</v>
      </c>
      <c r="D33" s="20">
        <f>F30</f>
        <v>1500</v>
      </c>
      <c r="E33" s="20">
        <v>0</v>
      </c>
      <c r="F33" s="20">
        <f>D33</f>
        <v>1500</v>
      </c>
      <c r="G33" s="20">
        <f>C31</f>
        <v>100.00000040523661</v>
      </c>
      <c r="H33" s="46">
        <f t="shared" si="3"/>
        <v>1</v>
      </c>
      <c r="I33" s="22">
        <v>2100000</v>
      </c>
      <c r="J33" s="21">
        <v>2400</v>
      </c>
      <c r="K33" s="20">
        <f>ROUND(O90,3)</f>
        <v>-8</v>
      </c>
      <c r="L33" s="196">
        <f>ABS(H90*M89+I90*M90+J90*M91+K90*M92)/B14</f>
        <v>7.999999999992724</v>
      </c>
      <c r="M33" s="197">
        <f>O22*J33</f>
        <v>1440</v>
      </c>
      <c r="N33" s="212" t="str">
        <f t="shared" si="1"/>
        <v/>
      </c>
      <c r="O33" s="232">
        <f t="shared" si="2"/>
        <v>0.01</v>
      </c>
    </row>
    <row r="34" spans="1:18" x14ac:dyDescent="0.25">
      <c r="B34" s="84">
        <v>10</v>
      </c>
      <c r="C34" s="25">
        <f>((C25)^2+(C31)^2)^0.5</f>
        <v>509.90195143875195</v>
      </c>
      <c r="D34" s="20">
        <v>0</v>
      </c>
      <c r="E34" s="20">
        <v>0</v>
      </c>
      <c r="F34" s="20">
        <f>D26</f>
        <v>500</v>
      </c>
      <c r="G34" s="20">
        <f>C31</f>
        <v>100.00000040523661</v>
      </c>
      <c r="H34" s="46">
        <f t="shared" si="3"/>
        <v>2.3947686785165123</v>
      </c>
      <c r="I34" s="22">
        <v>2100000</v>
      </c>
      <c r="J34" s="21">
        <v>2400</v>
      </c>
      <c r="K34" s="20">
        <f>ROUND(O96,3)</f>
        <v>3448.4670000000001</v>
      </c>
      <c r="L34" s="163">
        <f>ABS(H96*M95+I96*M96+J96*M97+K96*M98)/B15</f>
        <v>1439.9999999999993</v>
      </c>
      <c r="M34" s="20">
        <f>O22*J34</f>
        <v>1440</v>
      </c>
      <c r="N34" s="212" t="str">
        <f t="shared" si="1"/>
        <v/>
      </c>
      <c r="O34" s="232">
        <f t="shared" si="2"/>
        <v>1</v>
      </c>
      <c r="Q34" s="190" t="s">
        <v>64</v>
      </c>
      <c r="R34" s="182" t="s">
        <v>158</v>
      </c>
    </row>
    <row r="35" spans="1:18" x14ac:dyDescent="0.25">
      <c r="B35" s="84">
        <v>11</v>
      </c>
      <c r="C35" s="25">
        <f>C34</f>
        <v>509.90195143875195</v>
      </c>
      <c r="D35" s="20">
        <f>F34</f>
        <v>500</v>
      </c>
      <c r="E35" s="20">
        <f>C31</f>
        <v>100.00000040523661</v>
      </c>
      <c r="F35" s="20">
        <f>F32</f>
        <v>1000</v>
      </c>
      <c r="G35" s="20">
        <v>0</v>
      </c>
      <c r="H35" s="46">
        <f t="shared" si="3"/>
        <v>2.3381129063639743</v>
      </c>
      <c r="I35" s="22">
        <v>2100000</v>
      </c>
      <c r="J35" s="21">
        <v>2400</v>
      </c>
      <c r="K35" s="20">
        <f>ROUND(O102,3)</f>
        <v>-3366.8829999999998</v>
      </c>
      <c r="L35" s="196">
        <f>ABS(H102*M101+I102*M102+J102*M103+K102*M104)/B16</f>
        <v>1440.0000000000002</v>
      </c>
      <c r="M35" s="197">
        <f>O22*J35</f>
        <v>1440</v>
      </c>
      <c r="N35" s="212" t="str">
        <f t="shared" si="1"/>
        <v/>
      </c>
      <c r="O35" s="232">
        <f t="shared" si="2"/>
        <v>1</v>
      </c>
      <c r="Q35" s="191" t="s">
        <v>159</v>
      </c>
      <c r="R35" s="24">
        <f>ROUND(K140/1000,3)</f>
        <v>-4.8259999999999996</v>
      </c>
    </row>
    <row r="36" spans="1:18" x14ac:dyDescent="0.25">
      <c r="B36" s="84">
        <v>12</v>
      </c>
      <c r="C36" s="25">
        <f>C34</f>
        <v>509.90195143875195</v>
      </c>
      <c r="D36" s="20">
        <f>F35</f>
        <v>1000</v>
      </c>
      <c r="E36" s="20">
        <v>0</v>
      </c>
      <c r="F36" s="20">
        <f>F33</f>
        <v>1500</v>
      </c>
      <c r="G36" s="20">
        <f>C31</f>
        <v>100.00000040523661</v>
      </c>
      <c r="H36" s="46">
        <f t="shared" si="3"/>
        <v>7.222189242801373</v>
      </c>
      <c r="I36" s="22">
        <v>2100000</v>
      </c>
      <c r="J36" s="21">
        <v>2400</v>
      </c>
      <c r="K36" s="20">
        <f>ROUND(O108,3)</f>
        <v>3295.4960000000001</v>
      </c>
      <c r="L36" s="163">
        <f>ABS(H108*M107+I108*M108+J108*M109+K108*M110)/B17</f>
        <v>456.30157298519612</v>
      </c>
      <c r="M36" s="20">
        <f>O22*J36</f>
        <v>1440</v>
      </c>
      <c r="N36" s="212" t="str">
        <f t="shared" si="1"/>
        <v/>
      </c>
      <c r="O36" s="232">
        <f t="shared" si="2"/>
        <v>0.32</v>
      </c>
      <c r="Q36" s="191" t="s">
        <v>160</v>
      </c>
      <c r="R36" s="24">
        <f>ROUND(K141/1000,3)</f>
        <v>-0.67800000000000005</v>
      </c>
    </row>
    <row r="37" spans="1:18" ht="15.75" thickBot="1" x14ac:dyDescent="0.3">
      <c r="B37" s="85">
        <v>13</v>
      </c>
      <c r="C37" s="69">
        <f>C36</f>
        <v>509.90195143875195</v>
      </c>
      <c r="D37" s="64">
        <f>F36</f>
        <v>1500</v>
      </c>
      <c r="E37" s="64">
        <f>C31</f>
        <v>100.00000040523661</v>
      </c>
      <c r="F37" s="64">
        <f>F28</f>
        <v>2000</v>
      </c>
      <c r="G37" s="64">
        <v>0</v>
      </c>
      <c r="H37" s="46">
        <v>10</v>
      </c>
      <c r="I37" s="70">
        <v>2100000</v>
      </c>
      <c r="J37" s="70">
        <v>2400</v>
      </c>
      <c r="K37" s="64">
        <f>ROUND(O114,3)</f>
        <v>-3173.12</v>
      </c>
      <c r="L37" s="198">
        <f>ABS(H114*M113+I114*M114+J114*M115+K114*M116)/B18</f>
        <v>1440.0000000000027</v>
      </c>
      <c r="M37" s="199">
        <f>O22*J37</f>
        <v>1440</v>
      </c>
      <c r="N37" s="72" t="str">
        <f t="shared" si="1"/>
        <v/>
      </c>
      <c r="O37" s="233">
        <f t="shared" si="2"/>
        <v>1</v>
      </c>
      <c r="Q37" s="192" t="s">
        <v>161</v>
      </c>
      <c r="R37" s="73">
        <f>ROUND(K142/1000,3)</f>
        <v>0.61199999999999999</v>
      </c>
    </row>
    <row r="38" spans="1:18" x14ac:dyDescent="0.25">
      <c r="G38" s="166"/>
      <c r="H38" s="167"/>
    </row>
    <row r="39" spans="1:18" ht="15.75" thickBot="1" x14ac:dyDescent="0.3">
      <c r="A39" s="36">
        <v>1</v>
      </c>
      <c r="B39" s="36">
        <v>2</v>
      </c>
      <c r="C39" s="36">
        <v>3</v>
      </c>
      <c r="D39" s="36">
        <v>4</v>
      </c>
      <c r="N39" s="31"/>
    </row>
    <row r="40" spans="1:18" x14ac:dyDescent="0.25">
      <c r="A40" s="26" t="s">
        <v>54</v>
      </c>
      <c r="B40" s="27">
        <f>(F25-D25)/C25</f>
        <v>1</v>
      </c>
      <c r="C40" s="28" t="s">
        <v>55</v>
      </c>
      <c r="D40" s="27">
        <f>(G25-E25)/C25</f>
        <v>0</v>
      </c>
      <c r="E40" s="29">
        <f>(H25*I25)/(C25)</f>
        <v>4208.7499999999991</v>
      </c>
      <c r="N40" s="31"/>
    </row>
    <row r="41" spans="1:18" x14ac:dyDescent="0.25">
      <c r="A41" s="32">
        <f>E40*(B40^2)</f>
        <v>4208.7499999999991</v>
      </c>
      <c r="B41" s="33">
        <f>E40*D40*B40</f>
        <v>0</v>
      </c>
      <c r="C41" s="33">
        <f>-A41</f>
        <v>-4208.7499999999991</v>
      </c>
      <c r="D41" s="33">
        <f>-B40*D40*E40</f>
        <v>0</v>
      </c>
      <c r="E41" s="34"/>
      <c r="F41" s="35">
        <v>1</v>
      </c>
      <c r="H41" s="36">
        <v>1</v>
      </c>
      <c r="I41" s="36">
        <v>2</v>
      </c>
      <c r="J41" s="36">
        <v>3</v>
      </c>
      <c r="K41" s="36">
        <v>4</v>
      </c>
      <c r="L41" s="34"/>
      <c r="M41" s="37">
        <v>0</v>
      </c>
      <c r="N41" s="38"/>
    </row>
    <row r="42" spans="1:18" ht="15.75" x14ac:dyDescent="0.25">
      <c r="A42" s="32">
        <f>E40*B40*D40</f>
        <v>0</v>
      </c>
      <c r="B42" s="33">
        <f>E40*(D40^2)</f>
        <v>0</v>
      </c>
      <c r="C42" s="33">
        <f>-B40*D40*E40</f>
        <v>0</v>
      </c>
      <c r="D42" s="33">
        <f>-(D40^2)*E40</f>
        <v>0</v>
      </c>
      <c r="E42" s="179">
        <v>1</v>
      </c>
      <c r="F42" s="35">
        <v>2</v>
      </c>
      <c r="G42" s="39" t="s">
        <v>56</v>
      </c>
      <c r="H42" s="36">
        <f>-B40*E40</f>
        <v>-4208.7499999999991</v>
      </c>
      <c r="I42" s="36">
        <f>-D40*E40</f>
        <v>0</v>
      </c>
      <c r="J42" s="36">
        <f>B40*E40</f>
        <v>4208.7499999999991</v>
      </c>
      <c r="K42" s="40">
        <f>D40*E40</f>
        <v>0</v>
      </c>
      <c r="L42" s="34"/>
      <c r="M42" s="37">
        <v>0</v>
      </c>
      <c r="N42" s="41" t="s">
        <v>57</v>
      </c>
      <c r="O42" s="42">
        <f>H42*M41+I42*M42+J42*M43+K42*M44</f>
        <v>1442.9999999999998</v>
      </c>
    </row>
    <row r="43" spans="1:18" x14ac:dyDescent="0.25">
      <c r="A43" s="32">
        <f>-(B40^2)*E40</f>
        <v>-4208.7499999999991</v>
      </c>
      <c r="B43" s="33">
        <f>-B40*D40*E40</f>
        <v>0</v>
      </c>
      <c r="C43" s="33">
        <f>E40*(B40^2)</f>
        <v>4208.7499999999991</v>
      </c>
      <c r="D43" s="33">
        <f>B40*D40*E40</f>
        <v>0</v>
      </c>
      <c r="E43" s="34"/>
      <c r="F43" s="35">
        <v>3</v>
      </c>
      <c r="L43" s="34"/>
      <c r="M43" s="37">
        <f>G5</f>
        <v>0.34285714285714286</v>
      </c>
      <c r="N43" s="38"/>
      <c r="O43" s="33"/>
    </row>
    <row r="44" spans="1:18" ht="15.75" thickBot="1" x14ac:dyDescent="0.3">
      <c r="A44" s="43">
        <f>-B40*D40*E40</f>
        <v>0</v>
      </c>
      <c r="B44" s="44">
        <f>-(D40^2)*E40</f>
        <v>0</v>
      </c>
      <c r="C44" s="44">
        <f>B40*D40*E40</f>
        <v>0</v>
      </c>
      <c r="D44" s="44">
        <f>E40*(D40^2)</f>
        <v>0</v>
      </c>
      <c r="E44" s="45"/>
      <c r="F44" s="35">
        <v>4</v>
      </c>
      <c r="L44" s="34"/>
      <c r="M44" s="37">
        <f>G6</f>
        <v>-2.7764041848901888</v>
      </c>
      <c r="N44" s="38"/>
      <c r="O44" s="33"/>
    </row>
    <row r="45" spans="1:18" ht="15.75" thickBot="1" x14ac:dyDescent="0.3">
      <c r="A45" s="168">
        <v>3</v>
      </c>
      <c r="B45" s="33">
        <v>4</v>
      </c>
      <c r="C45" s="33">
        <v>5</v>
      </c>
      <c r="D45" s="33">
        <v>6</v>
      </c>
      <c r="E45" s="169"/>
      <c r="F45" s="35"/>
      <c r="M45" s="170"/>
      <c r="O45" s="31"/>
    </row>
    <row r="46" spans="1:18" x14ac:dyDescent="0.25">
      <c r="A46" s="171" t="s">
        <v>54</v>
      </c>
      <c r="B46" s="166">
        <f>(F26-D26)/C26</f>
        <v>1</v>
      </c>
      <c r="C46" s="172" t="s">
        <v>55</v>
      </c>
      <c r="D46" s="166">
        <f>(G26-E26)/C26</f>
        <v>0</v>
      </c>
      <c r="E46" s="29">
        <f>(H26*I26)/(C26)</f>
        <v>4200</v>
      </c>
      <c r="F46" s="35"/>
      <c r="M46" s="170"/>
    </row>
    <row r="47" spans="1:18" x14ac:dyDescent="0.25">
      <c r="A47" s="32">
        <f>E46*(B46^2)</f>
        <v>4200</v>
      </c>
      <c r="B47" s="33">
        <f>E46*D46*B46</f>
        <v>0</v>
      </c>
      <c r="C47" s="33">
        <f>-A47</f>
        <v>-4200</v>
      </c>
      <c r="D47" s="33">
        <f>-B46*D46*E46</f>
        <v>0</v>
      </c>
      <c r="E47" s="34"/>
      <c r="F47" s="35">
        <v>3</v>
      </c>
      <c r="H47" s="36">
        <v>3</v>
      </c>
      <c r="I47" s="36">
        <v>4</v>
      </c>
      <c r="J47" s="36">
        <v>5</v>
      </c>
      <c r="K47" s="36">
        <v>6</v>
      </c>
      <c r="L47" s="34"/>
      <c r="M47" s="37">
        <f>G5</f>
        <v>0.34285714285714286</v>
      </c>
      <c r="N47" s="38"/>
    </row>
    <row r="48" spans="1:18" ht="15.75" x14ac:dyDescent="0.25">
      <c r="A48" s="32">
        <f>E46*B46*D46</f>
        <v>0</v>
      </c>
      <c r="B48" s="33">
        <f>E46*(D46^2)</f>
        <v>0</v>
      </c>
      <c r="C48" s="33">
        <f>-B46*D46*E46</f>
        <v>0</v>
      </c>
      <c r="D48" s="33">
        <f>-(D46^2)*E46</f>
        <v>0</v>
      </c>
      <c r="E48" s="179">
        <v>2</v>
      </c>
      <c r="F48" s="35">
        <v>4</v>
      </c>
      <c r="G48" s="39" t="s">
        <v>84</v>
      </c>
      <c r="H48" s="36">
        <f>-B46*E46</f>
        <v>-4200</v>
      </c>
      <c r="I48" s="36">
        <f>-D46*E46</f>
        <v>0</v>
      </c>
      <c r="J48" s="36">
        <f>B46*E46</f>
        <v>4200</v>
      </c>
      <c r="K48" s="40">
        <f>D46*E46</f>
        <v>0</v>
      </c>
      <c r="L48" s="34"/>
      <c r="M48" s="37">
        <f>G6</f>
        <v>-2.7764041848901888</v>
      </c>
      <c r="N48" s="41" t="s">
        <v>57</v>
      </c>
      <c r="O48" s="42">
        <f>H48*M47+I48*M48+J48*M49+K48*M50</f>
        <v>1440</v>
      </c>
    </row>
    <row r="49" spans="1:15" x14ac:dyDescent="0.25">
      <c r="A49" s="32">
        <f>-(B46^2)*E46</f>
        <v>-4200</v>
      </c>
      <c r="B49" s="33">
        <f>-B46*D46*E46</f>
        <v>0</v>
      </c>
      <c r="C49" s="33">
        <f>E46*(B46^2)</f>
        <v>4200</v>
      </c>
      <c r="D49" s="33">
        <f>B46*D46*E46</f>
        <v>0</v>
      </c>
      <c r="E49" s="34"/>
      <c r="F49" s="35">
        <v>5</v>
      </c>
      <c r="L49" s="34"/>
      <c r="M49" s="37">
        <f>G7</f>
        <v>0.68571428571428572</v>
      </c>
      <c r="N49" s="38"/>
      <c r="O49" s="33"/>
    </row>
    <row r="50" spans="1:15" ht="15.75" thickBot="1" x14ac:dyDescent="0.3">
      <c r="A50" s="43">
        <f>-B46*D46*E46</f>
        <v>0</v>
      </c>
      <c r="B50" s="44">
        <f>-(D46^2)*E46</f>
        <v>0</v>
      </c>
      <c r="C50" s="44">
        <f>B46*D46*E46</f>
        <v>0</v>
      </c>
      <c r="D50" s="44">
        <f>E46*(D46^2)</f>
        <v>0</v>
      </c>
      <c r="E50" s="45"/>
      <c r="F50" s="35">
        <v>6</v>
      </c>
      <c r="L50" s="34"/>
      <c r="M50" s="37">
        <f>G8</f>
        <v>-2.1246179074852716</v>
      </c>
      <c r="N50" s="38"/>
      <c r="O50" s="33"/>
    </row>
    <row r="51" spans="1:15" ht="15.75" thickBot="1" x14ac:dyDescent="0.3">
      <c r="A51" s="168">
        <v>5</v>
      </c>
      <c r="B51" s="33">
        <v>6</v>
      </c>
      <c r="C51" s="33">
        <v>7</v>
      </c>
      <c r="D51" s="33">
        <v>8</v>
      </c>
      <c r="E51" s="169"/>
      <c r="F51" s="35"/>
      <c r="M51" s="170"/>
    </row>
    <row r="52" spans="1:15" x14ac:dyDescent="0.25">
      <c r="A52" s="26" t="s">
        <v>54</v>
      </c>
      <c r="B52" s="27">
        <f>(F27-D27)/C27</f>
        <v>1</v>
      </c>
      <c r="C52" s="28" t="s">
        <v>55</v>
      </c>
      <c r="D52" s="27">
        <f>(G27-E27)/C27</f>
        <v>0</v>
      </c>
      <c r="E52" s="29">
        <f>(H27*I27)/(C27)</f>
        <v>9101.4583350470348</v>
      </c>
      <c r="F52" s="35"/>
      <c r="M52" s="170"/>
    </row>
    <row r="53" spans="1:15" x14ac:dyDescent="0.25">
      <c r="A53" s="32">
        <f>E52*(B52^2)</f>
        <v>9101.4583350470348</v>
      </c>
      <c r="B53" s="33">
        <f>E52*D52*B52</f>
        <v>0</v>
      </c>
      <c r="C53" s="33">
        <f>-A53</f>
        <v>-9101.4583350470348</v>
      </c>
      <c r="D53" s="33">
        <f>-B52*D52*E52</f>
        <v>0</v>
      </c>
      <c r="E53" s="34"/>
      <c r="F53" s="35">
        <v>5</v>
      </c>
      <c r="H53" s="36">
        <v>5</v>
      </c>
      <c r="I53" s="36">
        <v>6</v>
      </c>
      <c r="J53" s="36">
        <v>7</v>
      </c>
      <c r="K53" s="36">
        <v>8</v>
      </c>
      <c r="L53" s="34"/>
      <c r="M53" s="37">
        <f>G7</f>
        <v>0.68571428571428572</v>
      </c>
      <c r="N53" s="38"/>
    </row>
    <row r="54" spans="1:15" ht="15.75" x14ac:dyDescent="0.25">
      <c r="A54" s="32">
        <f>E52*B52*D52</f>
        <v>0</v>
      </c>
      <c r="B54" s="33">
        <f>E52*(D52^2)</f>
        <v>0</v>
      </c>
      <c r="C54" s="33">
        <f>-B52*D52*E52</f>
        <v>0</v>
      </c>
      <c r="D54" s="33">
        <f>-(D52^2)*E52</f>
        <v>0</v>
      </c>
      <c r="E54" s="179">
        <v>3</v>
      </c>
      <c r="F54" s="35">
        <v>6</v>
      </c>
      <c r="G54" s="39" t="s">
        <v>85</v>
      </c>
      <c r="H54" s="36">
        <f>-B52*E52</f>
        <v>-9101.4583350470348</v>
      </c>
      <c r="I54" s="36">
        <f>-D52*E52</f>
        <v>0</v>
      </c>
      <c r="J54" s="36">
        <f>B52*E52</f>
        <v>9101.4583350470348</v>
      </c>
      <c r="K54" s="40">
        <f>D52*E52</f>
        <v>0</v>
      </c>
      <c r="L54" s="34"/>
      <c r="M54" s="37">
        <f>G8</f>
        <v>-2.1246179074852716</v>
      </c>
      <c r="N54" s="41" t="s">
        <v>57</v>
      </c>
      <c r="O54" s="42">
        <f>H54*M53+I54*M54+J54*M55+K54*M56</f>
        <v>3120.5000005875563</v>
      </c>
    </row>
    <row r="55" spans="1:15" x14ac:dyDescent="0.25">
      <c r="A55" s="32">
        <f>-(B52^2)*E52</f>
        <v>-9101.4583350470348</v>
      </c>
      <c r="B55" s="33">
        <f>-B52*D52*E52</f>
        <v>0</v>
      </c>
      <c r="C55" s="33">
        <f>E52*(B52^2)</f>
        <v>9101.4583350470348</v>
      </c>
      <c r="D55" s="33">
        <f>B52*D52*E52</f>
        <v>0</v>
      </c>
      <c r="E55" s="34"/>
      <c r="F55" s="35">
        <v>7</v>
      </c>
      <c r="L55" s="34"/>
      <c r="M55" s="37">
        <f>G9</f>
        <v>1.0285714285714287</v>
      </c>
      <c r="N55" s="38"/>
      <c r="O55" s="33"/>
    </row>
    <row r="56" spans="1:15" ht="15.75" thickBot="1" x14ac:dyDescent="0.3">
      <c r="A56" s="43">
        <f>-B52*D52*E52</f>
        <v>0</v>
      </c>
      <c r="B56" s="44">
        <f>-(D52^2)*E52</f>
        <v>0</v>
      </c>
      <c r="C56" s="44">
        <f>B52*D52*E52</f>
        <v>0</v>
      </c>
      <c r="D56" s="44">
        <f>E52*(D52^2)</f>
        <v>0</v>
      </c>
      <c r="E56" s="45"/>
      <c r="F56" s="35">
        <v>8</v>
      </c>
      <c r="L56" s="34"/>
      <c r="M56" s="37">
        <f>G10</f>
        <v>-2.6901725351596362</v>
      </c>
      <c r="N56" s="38"/>
      <c r="O56" s="33"/>
    </row>
    <row r="57" spans="1:15" ht="15.75" thickBot="1" x14ac:dyDescent="0.3">
      <c r="A57" s="168">
        <v>7</v>
      </c>
      <c r="B57" s="33">
        <v>8</v>
      </c>
      <c r="C57" s="33">
        <v>9</v>
      </c>
      <c r="D57" s="33">
        <v>10</v>
      </c>
      <c r="E57" s="169"/>
      <c r="F57" s="35"/>
      <c r="M57" s="170"/>
    </row>
    <row r="58" spans="1:15" x14ac:dyDescent="0.25">
      <c r="A58" s="171" t="s">
        <v>54</v>
      </c>
      <c r="B58" s="166">
        <f>(F28-D28)/C28</f>
        <v>1</v>
      </c>
      <c r="C58" s="172" t="s">
        <v>55</v>
      </c>
      <c r="D58" s="166">
        <f>(G28-E28)/C28</f>
        <v>0</v>
      </c>
      <c r="E58" s="29">
        <f>(H28*I28)/(C28)</f>
        <v>9101.458335047033</v>
      </c>
      <c r="F58" s="35"/>
      <c r="M58" s="170"/>
    </row>
    <row r="59" spans="1:15" x14ac:dyDescent="0.25">
      <c r="A59" s="32">
        <f>E58*(B58^2)</f>
        <v>9101.458335047033</v>
      </c>
      <c r="B59" s="33">
        <f>E58*D58*B58</f>
        <v>0</v>
      </c>
      <c r="C59" s="33">
        <f>-A59</f>
        <v>-9101.458335047033</v>
      </c>
      <c r="D59" s="33">
        <f>-B58*D58*E58</f>
        <v>0</v>
      </c>
      <c r="E59" s="34"/>
      <c r="F59" s="35">
        <v>7</v>
      </c>
      <c r="H59" s="36">
        <v>7</v>
      </c>
      <c r="I59" s="36">
        <v>8</v>
      </c>
      <c r="J59" s="36">
        <v>9</v>
      </c>
      <c r="K59" s="36">
        <v>10</v>
      </c>
      <c r="L59" s="34"/>
      <c r="M59" s="37">
        <f>G9</f>
        <v>1.0285714285714287</v>
      </c>
      <c r="N59" s="38"/>
      <c r="O59" s="33"/>
    </row>
    <row r="60" spans="1:15" ht="15.75" x14ac:dyDescent="0.25">
      <c r="A60" s="32">
        <f>E58*B58*D58</f>
        <v>0</v>
      </c>
      <c r="B60" s="33">
        <f>E58*(D58^2)</f>
        <v>0</v>
      </c>
      <c r="C60" s="33">
        <f>-B58*D58*E58</f>
        <v>0</v>
      </c>
      <c r="D60" s="33">
        <f>-(D58^2)*E58</f>
        <v>0</v>
      </c>
      <c r="E60" s="179">
        <v>4</v>
      </c>
      <c r="F60" s="35">
        <v>8</v>
      </c>
      <c r="G60" s="39" t="s">
        <v>87</v>
      </c>
      <c r="H60" s="36">
        <f>-B58*E58</f>
        <v>-9101.458335047033</v>
      </c>
      <c r="I60" s="36">
        <f>-D58*E58</f>
        <v>0</v>
      </c>
      <c r="J60" s="36">
        <f>B58*E58</f>
        <v>9101.458335047033</v>
      </c>
      <c r="K60" s="40">
        <f>D58*E58</f>
        <v>0</v>
      </c>
      <c r="L60" s="34"/>
      <c r="M60" s="37">
        <f>G10</f>
        <v>-2.6901725351596362</v>
      </c>
      <c r="N60" s="41" t="s">
        <v>57</v>
      </c>
      <c r="O60" s="42">
        <f>H60*M59+I60*M60+J60*M61+K60*M62</f>
        <v>3120.5000005875518</v>
      </c>
    </row>
    <row r="61" spans="1:15" x14ac:dyDescent="0.25">
      <c r="A61" s="32">
        <f>-(B58^2)*E58</f>
        <v>-9101.458335047033</v>
      </c>
      <c r="B61" s="33">
        <f>-B58*D58*E58</f>
        <v>0</v>
      </c>
      <c r="C61" s="33">
        <f>E58*(B58^2)</f>
        <v>9101.458335047033</v>
      </c>
      <c r="D61" s="33">
        <f>B58*D58*E58</f>
        <v>0</v>
      </c>
      <c r="E61" s="34"/>
      <c r="F61" s="35">
        <v>9</v>
      </c>
      <c r="L61" s="34"/>
      <c r="M61" s="37">
        <f>G11</f>
        <v>1.3714285714285714</v>
      </c>
      <c r="N61" s="38"/>
      <c r="O61" s="33"/>
    </row>
    <row r="62" spans="1:15" ht="15.75" thickBot="1" x14ac:dyDescent="0.3">
      <c r="A62" s="43">
        <f>-B58*D58*E58</f>
        <v>0</v>
      </c>
      <c r="B62" s="44">
        <f>-(D58^2)*E58</f>
        <v>0</v>
      </c>
      <c r="C62" s="44">
        <f>B58*D58*E58</f>
        <v>0</v>
      </c>
      <c r="D62" s="44">
        <f>E58*(D58^2)</f>
        <v>0</v>
      </c>
      <c r="E62" s="45"/>
      <c r="F62" s="35">
        <v>10</v>
      </c>
      <c r="L62" s="34"/>
      <c r="M62" s="37">
        <v>0</v>
      </c>
      <c r="N62" s="38"/>
      <c r="O62" s="33"/>
    </row>
    <row r="63" spans="1:15" ht="15.75" thickBot="1" x14ac:dyDescent="0.3">
      <c r="A63" s="168">
        <v>11</v>
      </c>
      <c r="B63" s="33">
        <v>12</v>
      </c>
      <c r="C63" s="33">
        <v>13</v>
      </c>
      <c r="D63" s="33">
        <v>14</v>
      </c>
      <c r="E63" s="169"/>
      <c r="F63" s="35"/>
      <c r="M63" s="170"/>
      <c r="O63" s="31"/>
    </row>
    <row r="64" spans="1:15" x14ac:dyDescent="0.25">
      <c r="A64" s="26" t="s">
        <v>54</v>
      </c>
      <c r="B64" s="27">
        <f>(F29-D29)/C29</f>
        <v>1</v>
      </c>
      <c r="C64" s="28" t="s">
        <v>55</v>
      </c>
      <c r="D64" s="27">
        <f>(G29-E29)/C29</f>
        <v>0</v>
      </c>
      <c r="E64" s="29">
        <f>(H29*I29)/(C29)</f>
        <v>19459.999997990941</v>
      </c>
      <c r="F64" s="35"/>
      <c r="M64" s="170"/>
    </row>
    <row r="65" spans="1:15" x14ac:dyDescent="0.25">
      <c r="A65" s="32">
        <f>E64*(B64^2)</f>
        <v>19459.999997990941</v>
      </c>
      <c r="B65" s="33">
        <f>E64*D64*B64</f>
        <v>0</v>
      </c>
      <c r="C65" s="33">
        <f>-A65</f>
        <v>-19459.999997990941</v>
      </c>
      <c r="D65" s="33">
        <f>-B64*D64*E64</f>
        <v>0</v>
      </c>
      <c r="E65" s="34"/>
      <c r="F65" s="35">
        <v>11</v>
      </c>
      <c r="H65" s="36">
        <v>11</v>
      </c>
      <c r="I65" s="36">
        <v>12</v>
      </c>
      <c r="J65" s="36">
        <v>13</v>
      </c>
      <c r="K65" s="36">
        <v>14</v>
      </c>
      <c r="L65" s="34"/>
      <c r="M65" s="37">
        <f>G12</f>
        <v>0.91189036314922212</v>
      </c>
      <c r="N65" s="38"/>
    </row>
    <row r="66" spans="1:15" ht="15.75" x14ac:dyDescent="0.25">
      <c r="A66" s="32">
        <f>E64*B64*D64</f>
        <v>0</v>
      </c>
      <c r="B66" s="33">
        <f>E64*(D64^2)</f>
        <v>0</v>
      </c>
      <c r="C66" s="33">
        <f>-B64*D64*E64</f>
        <v>0</v>
      </c>
      <c r="D66" s="33">
        <f>-(D64^2)*E64</f>
        <v>0</v>
      </c>
      <c r="E66" s="179">
        <v>5</v>
      </c>
      <c r="F66" s="35">
        <v>12</v>
      </c>
      <c r="G66" s="39" t="s">
        <v>86</v>
      </c>
      <c r="H66" s="36">
        <f>-B64*E64</f>
        <v>-19459.999997990941</v>
      </c>
      <c r="I66" s="36">
        <f>-D64*E64</f>
        <v>0</v>
      </c>
      <c r="J66" s="36">
        <f>B64*E64</f>
        <v>19459.999997990941</v>
      </c>
      <c r="K66" s="40">
        <f>D64*E64</f>
        <v>0</v>
      </c>
      <c r="L66" s="34"/>
      <c r="M66" s="37">
        <f>G13</f>
        <v>-2.7765946610814369</v>
      </c>
      <c r="N66" s="41" t="s">
        <v>57</v>
      </c>
      <c r="O66" s="42">
        <f>H66*M65+I66*M66+J66*M67+K66*M68</f>
        <v>6671.9999993111851</v>
      </c>
    </row>
    <row r="67" spans="1:15" x14ac:dyDescent="0.25">
      <c r="A67" s="32">
        <f>-(B64^2)*E64</f>
        <v>-19459.999997990941</v>
      </c>
      <c r="B67" s="33">
        <f>-B64*D64*E64</f>
        <v>0</v>
      </c>
      <c r="C67" s="33">
        <f>E64*(B64^2)</f>
        <v>19459.999997990941</v>
      </c>
      <c r="D67" s="33">
        <f>B64*D64*E64</f>
        <v>0</v>
      </c>
      <c r="E67" s="34"/>
      <c r="F67" s="35">
        <v>13</v>
      </c>
      <c r="L67" s="34"/>
      <c r="M67" s="37">
        <f>G14</f>
        <v>1.2547475060063651</v>
      </c>
      <c r="N67" s="38"/>
      <c r="O67" s="33"/>
    </row>
    <row r="68" spans="1:15" ht="15.75" thickBot="1" x14ac:dyDescent="0.3">
      <c r="A68" s="43">
        <f>-B64*D64*E64</f>
        <v>0</v>
      </c>
      <c r="B68" s="44">
        <f>-(D64^2)*E64</f>
        <v>0</v>
      </c>
      <c r="C68" s="44">
        <f>B64*D64*E64</f>
        <v>0</v>
      </c>
      <c r="D68" s="44">
        <f>E64*(D64^2)</f>
        <v>0</v>
      </c>
      <c r="E68" s="45"/>
      <c r="F68" s="35">
        <v>14</v>
      </c>
      <c r="L68" s="34"/>
      <c r="M68" s="37">
        <f>G15</f>
        <v>-2.1239512408159125</v>
      </c>
      <c r="N68" s="38"/>
      <c r="O68" s="33"/>
    </row>
    <row r="69" spans="1:15" ht="15.75" thickBot="1" x14ac:dyDescent="0.3">
      <c r="A69" s="168">
        <v>13</v>
      </c>
      <c r="B69" s="33">
        <v>14</v>
      </c>
      <c r="C69" s="33">
        <v>15</v>
      </c>
      <c r="D69" s="33">
        <v>16</v>
      </c>
      <c r="E69" s="169"/>
      <c r="F69" s="35"/>
      <c r="M69" s="170"/>
    </row>
    <row r="70" spans="1:15" x14ac:dyDescent="0.25">
      <c r="A70" s="26" t="s">
        <v>54</v>
      </c>
      <c r="B70" s="27">
        <f>(F30-D30)/C30</f>
        <v>1</v>
      </c>
      <c r="C70" s="28" t="s">
        <v>55</v>
      </c>
      <c r="D70" s="27">
        <f>(G30-E30)/C30</f>
        <v>0</v>
      </c>
      <c r="E70" s="29">
        <f>(H30*I30)/(C30)</f>
        <v>18456.666668675705</v>
      </c>
      <c r="F70" s="35"/>
      <c r="M70" s="170"/>
    </row>
    <row r="71" spans="1:15" x14ac:dyDescent="0.25">
      <c r="A71" s="32">
        <f>E70*(B70^2)</f>
        <v>18456.666668675705</v>
      </c>
      <c r="B71" s="33">
        <f>E70*D70*B70</f>
        <v>0</v>
      </c>
      <c r="C71" s="33">
        <f>-A71</f>
        <v>-18456.666668675705</v>
      </c>
      <c r="D71" s="33">
        <f>-B70*D70*E70</f>
        <v>0</v>
      </c>
      <c r="E71" s="34"/>
      <c r="F71" s="35">
        <v>13</v>
      </c>
      <c r="H71" s="36">
        <v>13</v>
      </c>
      <c r="I71" s="36">
        <v>14</v>
      </c>
      <c r="J71" s="36">
        <v>15</v>
      </c>
      <c r="K71" s="36">
        <v>16</v>
      </c>
      <c r="L71" s="34"/>
      <c r="M71" s="37">
        <f>G14</f>
        <v>1.2547475060063651</v>
      </c>
      <c r="N71" s="38"/>
    </row>
    <row r="72" spans="1:15" ht="15.75" x14ac:dyDescent="0.25">
      <c r="A72" s="32">
        <f>E70*B70*D70</f>
        <v>0</v>
      </c>
      <c r="B72" s="33">
        <f>E70*(D70^2)</f>
        <v>0</v>
      </c>
      <c r="C72" s="33">
        <f>-B70*D70*E70</f>
        <v>0</v>
      </c>
      <c r="D72" s="33">
        <f>-(D70^2)*E70</f>
        <v>0</v>
      </c>
      <c r="E72" s="179">
        <v>6</v>
      </c>
      <c r="F72" s="35">
        <v>14</v>
      </c>
      <c r="G72" s="39" t="s">
        <v>88</v>
      </c>
      <c r="H72" s="36">
        <f>-B70*E70</f>
        <v>-18456.666668675705</v>
      </c>
      <c r="I72" s="36">
        <f>-D70*E70</f>
        <v>0</v>
      </c>
      <c r="J72" s="36">
        <f>B70*E70</f>
        <v>18456.666668675705</v>
      </c>
      <c r="K72" s="40">
        <f>D70*E70</f>
        <v>0</v>
      </c>
      <c r="L72" s="34"/>
      <c r="M72" s="37">
        <f>G15</f>
        <v>-2.1239512408159125</v>
      </c>
      <c r="N72" s="41" t="s">
        <v>57</v>
      </c>
      <c r="O72" s="42">
        <f>H72*M71+I72*M72+J72*M73+K72*M74</f>
        <v>-6328.0000006888149</v>
      </c>
    </row>
    <row r="73" spans="1:15" x14ac:dyDescent="0.25">
      <c r="A73" s="32">
        <f>-(B70^2)*E70</f>
        <v>-18456.666668675705</v>
      </c>
      <c r="B73" s="33">
        <f>-B70*D70*E70</f>
        <v>0</v>
      </c>
      <c r="C73" s="33">
        <f>E70*(B70^2)</f>
        <v>18456.666668675705</v>
      </c>
      <c r="D73" s="33">
        <f>B70*D70*E70</f>
        <v>0</v>
      </c>
      <c r="E73" s="34"/>
      <c r="F73" s="35">
        <v>15</v>
      </c>
      <c r="L73" s="34"/>
      <c r="M73" s="37">
        <f>G16</f>
        <v>0.91189036314922212</v>
      </c>
      <c r="N73" s="38"/>
      <c r="O73" s="33"/>
    </row>
    <row r="74" spans="1:15" ht="15.75" thickBot="1" x14ac:dyDescent="0.3">
      <c r="A74" s="43">
        <f>-B70*D70*E70</f>
        <v>0</v>
      </c>
      <c r="B74" s="44">
        <f>-(D70^2)*E70</f>
        <v>0</v>
      </c>
      <c r="C74" s="44">
        <f>B70*D70*E70</f>
        <v>0</v>
      </c>
      <c r="D74" s="44">
        <f>E70*(D70^2)</f>
        <v>0</v>
      </c>
      <c r="E74" s="45"/>
      <c r="F74" s="35">
        <v>16</v>
      </c>
      <c r="L74" s="34"/>
      <c r="M74" s="37">
        <f>G17</f>
        <v>-2.690553487542132</v>
      </c>
      <c r="N74" s="38"/>
      <c r="O74" s="33"/>
    </row>
    <row r="75" spans="1:15" ht="15.75" thickBot="1" x14ac:dyDescent="0.3">
      <c r="A75" s="168">
        <v>3</v>
      </c>
      <c r="B75" s="33">
        <v>4</v>
      </c>
      <c r="C75" s="33">
        <v>11</v>
      </c>
      <c r="D75" s="33">
        <v>12</v>
      </c>
      <c r="E75" s="31"/>
      <c r="F75" s="173"/>
      <c r="M75" s="170"/>
    </row>
    <row r="76" spans="1:15" x14ac:dyDescent="0.25">
      <c r="A76" s="26" t="s">
        <v>54</v>
      </c>
      <c r="B76" s="27">
        <f>(F31-D31)/C31</f>
        <v>0</v>
      </c>
      <c r="C76" s="28" t="s">
        <v>55</v>
      </c>
      <c r="D76" s="27">
        <f>(G31-E31)/C31</f>
        <v>1</v>
      </c>
      <c r="E76" s="29">
        <f>(H31*I31)/(C31)</f>
        <v>20999.999914900312</v>
      </c>
      <c r="F76" s="35"/>
      <c r="M76" s="170"/>
    </row>
    <row r="77" spans="1:15" x14ac:dyDescent="0.25">
      <c r="A77" s="32">
        <f>E76*(B76^2)</f>
        <v>0</v>
      </c>
      <c r="B77" s="33">
        <f>E76*D76*B76</f>
        <v>0</v>
      </c>
      <c r="C77" s="33">
        <f>-A77</f>
        <v>0</v>
      </c>
      <c r="D77" s="33">
        <f>-B76*D76*E76</f>
        <v>0</v>
      </c>
      <c r="E77" s="34"/>
      <c r="F77" s="35">
        <v>3</v>
      </c>
      <c r="H77" s="36">
        <v>3</v>
      </c>
      <c r="I77" s="36">
        <v>4</v>
      </c>
      <c r="J77" s="36">
        <v>11</v>
      </c>
      <c r="K77" s="36">
        <v>12</v>
      </c>
      <c r="L77" s="34"/>
      <c r="M77" s="37">
        <f>G5</f>
        <v>0.34285714285714286</v>
      </c>
      <c r="N77" s="38"/>
    </row>
    <row r="78" spans="1:15" ht="15.75" x14ac:dyDescent="0.25">
      <c r="A78" s="32">
        <f>E76*B76*D76</f>
        <v>0</v>
      </c>
      <c r="B78" s="33">
        <f>E76*(D76^2)</f>
        <v>20999.999914900312</v>
      </c>
      <c r="C78" s="33">
        <f>-B76*D76*E76</f>
        <v>0</v>
      </c>
      <c r="D78" s="33">
        <f>-(D76^2)*E76</f>
        <v>-20999.999914900312</v>
      </c>
      <c r="E78" s="179">
        <v>7</v>
      </c>
      <c r="F78" s="35">
        <v>4</v>
      </c>
      <c r="G78" s="39" t="s">
        <v>89</v>
      </c>
      <c r="H78" s="36">
        <f>-B76*E76</f>
        <v>0</v>
      </c>
      <c r="I78" s="36">
        <f>-D76*E76</f>
        <v>-20999.999914900312</v>
      </c>
      <c r="J78" s="36">
        <f>B76*E76</f>
        <v>0</v>
      </c>
      <c r="K78" s="40">
        <f>D76*E76</f>
        <v>20999.999914900312</v>
      </c>
      <c r="L78" s="34"/>
      <c r="M78" s="37">
        <f>G6</f>
        <v>-2.7764041848901888</v>
      </c>
      <c r="N78" s="41" t="s">
        <v>57</v>
      </c>
      <c r="O78" s="42">
        <f>H78*M77+I78*M78+J78*M79+K78*M80</f>
        <v>-4</v>
      </c>
    </row>
    <row r="79" spans="1:15" x14ac:dyDescent="0.25">
      <c r="A79" s="32">
        <f>-(B76^2)*E76</f>
        <v>0</v>
      </c>
      <c r="B79" s="33">
        <f>-B76*D76*E76</f>
        <v>0</v>
      </c>
      <c r="C79" s="33">
        <f>E76*(B76^2)</f>
        <v>0</v>
      </c>
      <c r="D79" s="33">
        <f>B76*D76*E76</f>
        <v>0</v>
      </c>
      <c r="E79" s="34"/>
      <c r="F79" s="35">
        <v>11</v>
      </c>
      <c r="L79" s="34"/>
      <c r="M79" s="37">
        <f>G12</f>
        <v>0.91189036314922212</v>
      </c>
      <c r="N79" s="38"/>
      <c r="O79" s="33"/>
    </row>
    <row r="80" spans="1:15" ht="15.75" thickBot="1" x14ac:dyDescent="0.3">
      <c r="A80" s="43">
        <f>-B76*D76*E76</f>
        <v>0</v>
      </c>
      <c r="B80" s="44">
        <f>-(D76^2)*E76</f>
        <v>-20999.999914900312</v>
      </c>
      <c r="C80" s="44">
        <f>B76*D76*E76</f>
        <v>0</v>
      </c>
      <c r="D80" s="44">
        <f>E76*(D76^2)</f>
        <v>20999.999914900312</v>
      </c>
      <c r="E80" s="45"/>
      <c r="F80" s="35">
        <v>12</v>
      </c>
      <c r="L80" s="34"/>
      <c r="M80" s="37">
        <f>G13</f>
        <v>-2.7765946610814369</v>
      </c>
      <c r="N80" s="38"/>
      <c r="O80" s="33"/>
    </row>
    <row r="81" spans="1:15" ht="15.75" thickBot="1" x14ac:dyDescent="0.3">
      <c r="A81" s="168">
        <v>5</v>
      </c>
      <c r="B81" s="33">
        <v>6</v>
      </c>
      <c r="C81" s="33">
        <v>13</v>
      </c>
      <c r="D81" s="33">
        <v>14</v>
      </c>
      <c r="E81" s="31"/>
      <c r="F81" s="173"/>
      <c r="M81" s="170"/>
    </row>
    <row r="82" spans="1:15" x14ac:dyDescent="0.25">
      <c r="A82" s="26" t="s">
        <v>54</v>
      </c>
      <c r="B82" s="27">
        <f>(F32-D32)/C32</f>
        <v>0</v>
      </c>
      <c r="C82" s="28" t="s">
        <v>55</v>
      </c>
      <c r="D82" s="27">
        <f>(G32-E32)/C32</f>
        <v>1</v>
      </c>
      <c r="E82" s="29">
        <f>(H32*I32)/(C32)</f>
        <v>20999.999915190063</v>
      </c>
      <c r="F82" s="35"/>
      <c r="M82" s="170"/>
    </row>
    <row r="83" spans="1:15" x14ac:dyDescent="0.25">
      <c r="A83" s="32">
        <f>E82*(B82^2)</f>
        <v>0</v>
      </c>
      <c r="B83" s="33">
        <f>E82*D82*B82</f>
        <v>0</v>
      </c>
      <c r="C83" s="33">
        <f>-A83</f>
        <v>0</v>
      </c>
      <c r="D83" s="33">
        <f>-B82*D82*E82</f>
        <v>0</v>
      </c>
      <c r="E83" s="34"/>
      <c r="F83" s="35">
        <v>5</v>
      </c>
      <c r="H83" s="36">
        <v>5</v>
      </c>
      <c r="I83" s="36">
        <v>6</v>
      </c>
      <c r="J83" s="36">
        <v>13</v>
      </c>
      <c r="K83" s="36">
        <v>14</v>
      </c>
      <c r="L83" s="34"/>
      <c r="M83" s="37">
        <f>G7</f>
        <v>0.68571428571428572</v>
      </c>
      <c r="N83" s="38"/>
    </row>
    <row r="84" spans="1:15" ht="15.75" x14ac:dyDescent="0.25">
      <c r="A84" s="32">
        <f>E82*B82*D82</f>
        <v>0</v>
      </c>
      <c r="B84" s="33">
        <f>E82*(D82^2)</f>
        <v>20999.999915190063</v>
      </c>
      <c r="C84" s="33">
        <f>-B82*D82*E82</f>
        <v>0</v>
      </c>
      <c r="D84" s="33">
        <f>-(D82^2)*E82</f>
        <v>-20999.999915190063</v>
      </c>
      <c r="E84" s="179">
        <v>8</v>
      </c>
      <c r="F84" s="35">
        <v>6</v>
      </c>
      <c r="G84" s="39" t="s">
        <v>90</v>
      </c>
      <c r="H84" s="36">
        <f>-B82*E82</f>
        <v>0</v>
      </c>
      <c r="I84" s="36">
        <f>-D82*E82</f>
        <v>-20999.999915190063</v>
      </c>
      <c r="J84" s="36">
        <f>B82*E82</f>
        <v>0</v>
      </c>
      <c r="K84" s="40">
        <f>D82*E82</f>
        <v>20999.999915190063</v>
      </c>
      <c r="L84" s="34"/>
      <c r="M84" s="37">
        <f>G8</f>
        <v>-2.1246179074852716</v>
      </c>
      <c r="N84" s="41" t="s">
        <v>57</v>
      </c>
      <c r="O84" s="42">
        <f>H84*M83+I84*M84+J84*M85+K84*M86</f>
        <v>14</v>
      </c>
    </row>
    <row r="85" spans="1:15" x14ac:dyDescent="0.25">
      <c r="A85" s="32">
        <f>-(B82^2)*E82</f>
        <v>0</v>
      </c>
      <c r="B85" s="33">
        <f>-B82*D82*E82</f>
        <v>0</v>
      </c>
      <c r="C85" s="33">
        <f>E82*(B82^2)</f>
        <v>0</v>
      </c>
      <c r="D85" s="33">
        <f>B82*D82*E82</f>
        <v>0</v>
      </c>
      <c r="E85" s="34"/>
      <c r="F85" s="35">
        <v>13</v>
      </c>
      <c r="L85" s="34"/>
      <c r="M85" s="37">
        <f>G14</f>
        <v>1.2547475060063651</v>
      </c>
      <c r="N85" s="38"/>
      <c r="O85" s="33"/>
    </row>
    <row r="86" spans="1:15" ht="15.75" thickBot="1" x14ac:dyDescent="0.3">
      <c r="A86" s="43">
        <f>-B82*D82*E82</f>
        <v>0</v>
      </c>
      <c r="B86" s="44">
        <f>-(D82^2)*E82</f>
        <v>-20999.999915190063</v>
      </c>
      <c r="C86" s="44">
        <f>B82*D82*E82</f>
        <v>0</v>
      </c>
      <c r="D86" s="44">
        <f>E82*(D82^2)</f>
        <v>20999.999915190063</v>
      </c>
      <c r="E86" s="45"/>
      <c r="F86" s="35">
        <v>14</v>
      </c>
      <c r="L86" s="34"/>
      <c r="M86" s="37">
        <f>G15</f>
        <v>-2.1239512408159125</v>
      </c>
      <c r="N86" s="38"/>
      <c r="O86" s="33"/>
    </row>
    <row r="87" spans="1:15" ht="15.75" thickBot="1" x14ac:dyDescent="0.3">
      <c r="A87" s="168">
        <v>7</v>
      </c>
      <c r="B87" s="33">
        <v>8</v>
      </c>
      <c r="C87" s="33">
        <v>15</v>
      </c>
      <c r="D87" s="33">
        <v>16</v>
      </c>
      <c r="E87" s="169"/>
      <c r="F87" s="35"/>
      <c r="M87" s="170"/>
    </row>
    <row r="88" spans="1:15" x14ac:dyDescent="0.25">
      <c r="A88" s="26" t="s">
        <v>54</v>
      </c>
      <c r="B88" s="27">
        <f>(F32-D32)/C32</f>
        <v>0</v>
      </c>
      <c r="C88" s="28" t="s">
        <v>55</v>
      </c>
      <c r="D88" s="27">
        <f>(G33-E33)/C33</f>
        <v>1</v>
      </c>
      <c r="E88" s="29">
        <f>(H33*I33)/(C33)</f>
        <v>20999.999914900312</v>
      </c>
      <c r="F88" s="35"/>
      <c r="H88" s="36"/>
      <c r="M88" s="170"/>
    </row>
    <row r="89" spans="1:15" x14ac:dyDescent="0.25">
      <c r="A89" s="32">
        <f>E88*(B88^2)</f>
        <v>0</v>
      </c>
      <c r="B89" s="33">
        <f>E88*D88*B88</f>
        <v>0</v>
      </c>
      <c r="C89" s="33">
        <f>-A89</f>
        <v>0</v>
      </c>
      <c r="D89" s="33">
        <f>-B88*D88*E88</f>
        <v>0</v>
      </c>
      <c r="E89" s="34"/>
      <c r="F89" s="35">
        <v>7</v>
      </c>
      <c r="H89" s="36">
        <v>7</v>
      </c>
      <c r="I89" s="36">
        <v>8</v>
      </c>
      <c r="J89" s="36">
        <v>15</v>
      </c>
      <c r="K89" s="36">
        <v>16</v>
      </c>
      <c r="L89" s="34"/>
      <c r="M89" s="37">
        <f>G9</f>
        <v>1.0285714285714287</v>
      </c>
      <c r="N89" s="38"/>
    </row>
    <row r="90" spans="1:15" ht="15.75" x14ac:dyDescent="0.25">
      <c r="A90" s="32">
        <f>E88*B88*D88</f>
        <v>0</v>
      </c>
      <c r="B90" s="33">
        <f>E88*(D88^2)</f>
        <v>20999.999914900312</v>
      </c>
      <c r="C90" s="33">
        <f>-B88*D88*E88</f>
        <v>0</v>
      </c>
      <c r="D90" s="33">
        <f>-(D88^2)*E88</f>
        <v>-20999.999914900312</v>
      </c>
      <c r="E90" s="179">
        <v>9</v>
      </c>
      <c r="F90" s="35">
        <v>8</v>
      </c>
      <c r="G90" s="39" t="s">
        <v>91</v>
      </c>
      <c r="H90" s="36">
        <f>-B88*E88</f>
        <v>0</v>
      </c>
      <c r="I90" s="36">
        <f>-D88*E88</f>
        <v>-20999.999914900312</v>
      </c>
      <c r="J90" s="36">
        <f>B88*E88</f>
        <v>0</v>
      </c>
      <c r="K90" s="40">
        <f>D88*E88</f>
        <v>20999.999914900312</v>
      </c>
      <c r="L90" s="34"/>
      <c r="M90" s="37">
        <f>G10</f>
        <v>-2.6901725351596362</v>
      </c>
      <c r="N90" s="41" t="s">
        <v>57</v>
      </c>
      <c r="O90" s="42">
        <f>H90*M89+I90*M90+J90*M91+K90*M92</f>
        <v>-7.999999999992724</v>
      </c>
    </row>
    <row r="91" spans="1:15" x14ac:dyDescent="0.25">
      <c r="A91" s="32">
        <f>-(B88^2)*E88</f>
        <v>0</v>
      </c>
      <c r="B91" s="33">
        <f>-B88*D88*E88</f>
        <v>0</v>
      </c>
      <c r="C91" s="33">
        <f>E88*(B88^2)</f>
        <v>0</v>
      </c>
      <c r="D91" s="33">
        <f>B88*D88*E88</f>
        <v>0</v>
      </c>
      <c r="E91" s="34"/>
      <c r="F91" s="35">
        <v>15</v>
      </c>
      <c r="L91" s="34"/>
      <c r="M91" s="37">
        <f>G16</f>
        <v>0.91189036314922212</v>
      </c>
      <c r="N91" s="38"/>
      <c r="O91" s="33"/>
    </row>
    <row r="92" spans="1:15" ht="15.75" thickBot="1" x14ac:dyDescent="0.3">
      <c r="A92" s="43">
        <f>-B88*D88*E88</f>
        <v>0</v>
      </c>
      <c r="B92" s="44">
        <f>-(D88^2)*E88</f>
        <v>-20999.999914900312</v>
      </c>
      <c r="C92" s="44">
        <f>B88*D88*E88</f>
        <v>0</v>
      </c>
      <c r="D92" s="44">
        <f>E88*(D88^2)</f>
        <v>20999.999914900312</v>
      </c>
      <c r="E92" s="45"/>
      <c r="F92" s="35">
        <v>16</v>
      </c>
      <c r="L92" s="34"/>
      <c r="M92" s="37">
        <f>G17</f>
        <v>-2.690553487542132</v>
      </c>
      <c r="N92" s="38"/>
      <c r="O92" s="33"/>
    </row>
    <row r="93" spans="1:15" ht="15.75" thickBot="1" x14ac:dyDescent="0.3">
      <c r="A93" s="168">
        <v>1</v>
      </c>
      <c r="B93" s="33">
        <v>2</v>
      </c>
      <c r="C93" s="33">
        <v>11</v>
      </c>
      <c r="D93" s="33">
        <v>12</v>
      </c>
      <c r="E93" s="169"/>
      <c r="F93" s="35"/>
      <c r="M93" s="170"/>
    </row>
    <row r="94" spans="1:15" x14ac:dyDescent="0.25">
      <c r="A94" s="26" t="s">
        <v>54</v>
      </c>
      <c r="B94" s="27">
        <f>(F34-D34)/C34</f>
        <v>0.98058067553808659</v>
      </c>
      <c r="C94" s="28" t="s">
        <v>55</v>
      </c>
      <c r="D94" s="27">
        <f>(G34-E34)/C34</f>
        <v>0.19611613590235169</v>
      </c>
      <c r="E94" s="29">
        <f>(H34*I34)/(C34)</f>
        <v>9862.7083318561236</v>
      </c>
      <c r="F94" s="35"/>
      <c r="M94" s="170"/>
    </row>
    <row r="95" spans="1:15" x14ac:dyDescent="0.25">
      <c r="A95" s="32">
        <f>E94*(B94^2)</f>
        <v>9483.3733930593407</v>
      </c>
      <c r="B95" s="33">
        <f>E94*D94*B94</f>
        <v>1896.6746862978885</v>
      </c>
      <c r="C95" s="33">
        <f>-A95</f>
        <v>-9483.3733930593407</v>
      </c>
      <c r="D95" s="33">
        <f>-B94*D94*E94</f>
        <v>-1896.6746862978885</v>
      </c>
      <c r="E95" s="34"/>
      <c r="F95" s="35">
        <v>1</v>
      </c>
      <c r="H95" s="36">
        <v>1</v>
      </c>
      <c r="I95" s="36">
        <v>2</v>
      </c>
      <c r="J95" s="36">
        <v>11</v>
      </c>
      <c r="K95" s="36">
        <v>12</v>
      </c>
      <c r="L95" s="34"/>
      <c r="M95" s="37">
        <v>0</v>
      </c>
      <c r="N95" s="38"/>
    </row>
    <row r="96" spans="1:15" ht="15.75" x14ac:dyDescent="0.25">
      <c r="A96" s="32">
        <f>E94*B94*D94</f>
        <v>1896.6746862978882</v>
      </c>
      <c r="B96" s="33">
        <f>E94*(D94^2)</f>
        <v>379.33493879678167</v>
      </c>
      <c r="C96" s="33">
        <f>-B94*D94*E94</f>
        <v>-1896.6746862978885</v>
      </c>
      <c r="D96" s="33">
        <f>-(D94^2)*E94</f>
        <v>-379.33493879678167</v>
      </c>
      <c r="E96" s="179">
        <v>10</v>
      </c>
      <c r="F96" s="35">
        <v>2</v>
      </c>
      <c r="G96" s="39" t="s">
        <v>92</v>
      </c>
      <c r="H96" s="36">
        <f>-B94*E94</f>
        <v>-9671.1811986865923</v>
      </c>
      <c r="I96" s="36">
        <f>-D94*E94</f>
        <v>-1934.2362475755519</v>
      </c>
      <c r="J96" s="36">
        <f>B94*E94</f>
        <v>9671.1811986865923</v>
      </c>
      <c r="K96" s="40">
        <f>D94*E94</f>
        <v>1934.2362475755519</v>
      </c>
      <c r="L96" s="34"/>
      <c r="M96" s="37">
        <v>0</v>
      </c>
      <c r="N96" s="41" t="s">
        <v>57</v>
      </c>
      <c r="O96" s="42">
        <f>H96*M95+I96*M96+J96*M97+K96*M98</f>
        <v>3448.4668970637758</v>
      </c>
    </row>
    <row r="97" spans="1:15" x14ac:dyDescent="0.25">
      <c r="A97" s="32">
        <f>-(B94^2)*E94</f>
        <v>-9483.3733930593407</v>
      </c>
      <c r="B97" s="33">
        <f>-B94*D94*E94</f>
        <v>-1896.6746862978885</v>
      </c>
      <c r="C97" s="33">
        <f>E94*(B94^2)</f>
        <v>9483.3733930593407</v>
      </c>
      <c r="D97" s="33">
        <f>B94*D94*E94</f>
        <v>1896.6746862978885</v>
      </c>
      <c r="E97" s="34"/>
      <c r="F97" s="35">
        <v>11</v>
      </c>
      <c r="L97" s="34"/>
      <c r="M97" s="37">
        <f>G12</f>
        <v>0.91189036314922212</v>
      </c>
      <c r="N97" s="38"/>
      <c r="O97" s="33"/>
    </row>
    <row r="98" spans="1:15" ht="15.75" thickBot="1" x14ac:dyDescent="0.3">
      <c r="A98" s="43">
        <f>-B94*D94*E94</f>
        <v>-1896.6746862978885</v>
      </c>
      <c r="B98" s="44">
        <f>-(D94^2)*E94</f>
        <v>-379.33493879678167</v>
      </c>
      <c r="C98" s="44">
        <f>B94*D94*E94</f>
        <v>1896.6746862978885</v>
      </c>
      <c r="D98" s="44">
        <f>E94*(D94^2)</f>
        <v>379.33493879678167</v>
      </c>
      <c r="E98" s="45"/>
      <c r="F98" s="35">
        <v>12</v>
      </c>
      <c r="L98" s="34"/>
      <c r="M98" s="37">
        <f>G13</f>
        <v>-2.7765946610814369</v>
      </c>
      <c r="N98" s="38"/>
      <c r="O98" s="33"/>
    </row>
    <row r="99" spans="1:15" ht="15.75" thickBot="1" x14ac:dyDescent="0.3">
      <c r="A99" s="168">
        <v>11</v>
      </c>
      <c r="B99" s="33">
        <v>12</v>
      </c>
      <c r="C99" s="33">
        <v>5</v>
      </c>
      <c r="D99" s="33">
        <v>6</v>
      </c>
      <c r="E99" s="169"/>
      <c r="F99" s="35"/>
      <c r="M99" s="170"/>
    </row>
    <row r="100" spans="1:15" x14ac:dyDescent="0.25">
      <c r="A100" s="26" t="s">
        <v>54</v>
      </c>
      <c r="B100" s="27">
        <f>(F35-D35)/C35</f>
        <v>0.98058067553808659</v>
      </c>
      <c r="C100" s="28" t="s">
        <v>55</v>
      </c>
      <c r="D100" s="27">
        <f>(G35-E35)/C35</f>
        <v>-0.19611613590235169</v>
      </c>
      <c r="E100" s="29">
        <f>(H35*I35)/(C35)</f>
        <v>9629.3749994681602</v>
      </c>
      <c r="F100" s="35"/>
      <c r="M100" s="170"/>
    </row>
    <row r="101" spans="1:15" x14ac:dyDescent="0.25">
      <c r="A101" s="32">
        <f>E100*(B100^2)</f>
        <v>9259.0144196793135</v>
      </c>
      <c r="B101" s="33">
        <f>E100*D100*B100</f>
        <v>-1851.8028914400459</v>
      </c>
      <c r="C101" s="33">
        <f>-A101</f>
        <v>-9259.0144196793135</v>
      </c>
      <c r="D101" s="33">
        <f>-B100*D100*E100</f>
        <v>1851.8028914400461</v>
      </c>
      <c r="E101" s="34"/>
      <c r="F101" s="35">
        <v>11</v>
      </c>
      <c r="H101" s="36">
        <v>11</v>
      </c>
      <c r="I101" s="36">
        <v>12</v>
      </c>
      <c r="J101" s="36">
        <v>5</v>
      </c>
      <c r="K101" s="36">
        <v>6</v>
      </c>
      <c r="L101" s="34"/>
      <c r="M101" s="37">
        <f>G12</f>
        <v>0.91189036314922212</v>
      </c>
      <c r="N101" s="38"/>
    </row>
    <row r="102" spans="1:15" ht="15.75" x14ac:dyDescent="0.25">
      <c r="A102" s="32">
        <f>E100*B100*D100</f>
        <v>-1851.8028914400461</v>
      </c>
      <c r="B102" s="33">
        <f>E100*(D100^2)</f>
        <v>370.36057978884583</v>
      </c>
      <c r="C102" s="33">
        <f>-B100*D100*E100</f>
        <v>1851.8028914400461</v>
      </c>
      <c r="D102" s="33">
        <f>-(D100^2)*E100</f>
        <v>-370.36057978884583</v>
      </c>
      <c r="E102" s="179">
        <v>11</v>
      </c>
      <c r="F102" s="35">
        <v>12</v>
      </c>
      <c r="G102" s="39" t="s">
        <v>162</v>
      </c>
      <c r="H102" s="36">
        <f>-B100*E100</f>
        <v>-9442.3790419880515</v>
      </c>
      <c r="I102" s="36">
        <f>-D100*E100</f>
        <v>1888.4758160504055</v>
      </c>
      <c r="J102" s="36">
        <f>B100*E100</f>
        <v>9442.3790419880515</v>
      </c>
      <c r="K102" s="40">
        <f>D100*E100</f>
        <v>-1888.4758160504055</v>
      </c>
      <c r="L102" s="34"/>
      <c r="M102" s="37">
        <f>G13</f>
        <v>-2.7765946610814369</v>
      </c>
      <c r="N102" s="41" t="s">
        <v>57</v>
      </c>
      <c r="O102" s="42">
        <f>H102*M101+I102*M102+J102*M103+K102*M104</f>
        <v>-3366.8825851641236</v>
      </c>
    </row>
    <row r="103" spans="1:15" x14ac:dyDescent="0.25">
      <c r="A103" s="32">
        <f>-(B100^2)*E100</f>
        <v>-9259.0144196793135</v>
      </c>
      <c r="B103" s="33">
        <f>-B100*D100*E100</f>
        <v>1851.8028914400461</v>
      </c>
      <c r="C103" s="33">
        <f>E100*(B100^2)</f>
        <v>9259.0144196793135</v>
      </c>
      <c r="D103" s="33">
        <f>B100*D100*E100</f>
        <v>-1851.8028914400461</v>
      </c>
      <c r="E103" s="34"/>
      <c r="F103" s="35">
        <v>5</v>
      </c>
      <c r="L103" s="34"/>
      <c r="M103" s="37">
        <f>G7</f>
        <v>0.68571428571428572</v>
      </c>
      <c r="N103" s="38"/>
      <c r="O103" s="33"/>
    </row>
    <row r="104" spans="1:15" ht="15.75" thickBot="1" x14ac:dyDescent="0.3">
      <c r="A104" s="43">
        <f>-B100*D100*E100</f>
        <v>1851.8028914400461</v>
      </c>
      <c r="B104" s="44">
        <f>-(D100^2)*E100</f>
        <v>-370.36057978884583</v>
      </c>
      <c r="C104" s="44">
        <f>B100*D100*E100</f>
        <v>-1851.8028914400461</v>
      </c>
      <c r="D104" s="44">
        <f>E100*(D100^2)</f>
        <v>370.36057978884583</v>
      </c>
      <c r="E104" s="45"/>
      <c r="F104" s="35">
        <v>6</v>
      </c>
      <c r="L104" s="34"/>
      <c r="M104" s="37">
        <f>G8</f>
        <v>-2.1246179074852716</v>
      </c>
      <c r="N104" s="38"/>
      <c r="O104" s="33"/>
    </row>
    <row r="105" spans="1:15" ht="15.75" thickBot="1" x14ac:dyDescent="0.3">
      <c r="A105" s="168">
        <v>5</v>
      </c>
      <c r="B105" s="33">
        <v>6</v>
      </c>
      <c r="C105" s="33">
        <v>15</v>
      </c>
      <c r="D105" s="33">
        <v>16</v>
      </c>
      <c r="E105" s="169"/>
      <c r="F105" s="35"/>
      <c r="M105" s="170"/>
    </row>
    <row r="106" spans="1:15" x14ac:dyDescent="0.25">
      <c r="A106" s="26" t="s">
        <v>54</v>
      </c>
      <c r="B106" s="27">
        <f>(F36-D36)/C36</f>
        <v>0.98058067553808659</v>
      </c>
      <c r="C106" s="28" t="s">
        <v>55</v>
      </c>
      <c r="D106" s="27">
        <f>(G36-E36)/C36</f>
        <v>0.19611613590235169</v>
      </c>
      <c r="E106" s="29">
        <f>(H36*I36)/(C36)</f>
        <v>29744.144667594301</v>
      </c>
      <c r="F106" s="35"/>
      <c r="M106" s="170"/>
    </row>
    <row r="107" spans="1:15" x14ac:dyDescent="0.25">
      <c r="A107" s="32">
        <f>E106*(B106^2)</f>
        <v>28600.139094540806</v>
      </c>
      <c r="B107" s="33">
        <f>E106*D106*B106</f>
        <v>5720.0278420878076</v>
      </c>
      <c r="C107" s="33">
        <f>-A107</f>
        <v>-28600.139094540806</v>
      </c>
      <c r="D107" s="33">
        <f>-B106*D106*E106</f>
        <v>-5720.0278420878085</v>
      </c>
      <c r="E107" s="34"/>
      <c r="F107" s="35">
        <v>5</v>
      </c>
      <c r="H107" s="36">
        <v>5</v>
      </c>
      <c r="I107" s="36">
        <v>6</v>
      </c>
      <c r="J107" s="36">
        <v>15</v>
      </c>
      <c r="K107" s="36">
        <v>16</v>
      </c>
      <c r="L107" s="34"/>
      <c r="M107" s="37">
        <f>G7</f>
        <v>0.68571428571428572</v>
      </c>
      <c r="N107" s="38"/>
    </row>
    <row r="108" spans="1:15" ht="15.75" x14ac:dyDescent="0.25">
      <c r="A108" s="32">
        <f>E106*B106*D106</f>
        <v>5720.0278420878085</v>
      </c>
      <c r="B108" s="33">
        <f>E106*(D106^2)</f>
        <v>1144.0055730534909</v>
      </c>
      <c r="C108" s="33">
        <f>-B106*D106*E106</f>
        <v>-5720.0278420878085</v>
      </c>
      <c r="D108" s="33">
        <f>-(D106^2)*E106</f>
        <v>-1144.0055730534909</v>
      </c>
      <c r="E108" s="179">
        <v>12</v>
      </c>
      <c r="F108" s="35">
        <v>6</v>
      </c>
      <c r="G108" s="39" t="s">
        <v>163</v>
      </c>
      <c r="H108" s="36">
        <f>-B106*E106</f>
        <v>-29166.533471452196</v>
      </c>
      <c r="I108" s="36">
        <f>-D106*E106</f>
        <v>-5833.3067179291329</v>
      </c>
      <c r="J108" s="36">
        <f>B106*E106</f>
        <v>29166.533471452196</v>
      </c>
      <c r="K108" s="40">
        <f>D106*E106</f>
        <v>5833.3067179291329</v>
      </c>
      <c r="L108" s="34"/>
      <c r="M108" s="37">
        <f>G8</f>
        <v>-2.1246179074852716</v>
      </c>
      <c r="N108" s="41" t="s">
        <v>57</v>
      </c>
      <c r="O108" s="42">
        <f>H108*M107+I108*M108+J108*M109+K108*M110</f>
        <v>3295.4963118870292</v>
      </c>
    </row>
    <row r="109" spans="1:15" x14ac:dyDescent="0.25">
      <c r="A109" s="32">
        <f>-(B106^2)*E106</f>
        <v>-28600.139094540806</v>
      </c>
      <c r="B109" s="33">
        <f>-B106*D106*E106</f>
        <v>-5720.0278420878085</v>
      </c>
      <c r="C109" s="33">
        <f>E106*(B106^2)</f>
        <v>28600.139094540806</v>
      </c>
      <c r="D109" s="33">
        <f>B106*D106*E106</f>
        <v>5720.0278420878085</v>
      </c>
      <c r="E109" s="34"/>
      <c r="F109" s="35">
        <v>15</v>
      </c>
      <c r="L109" s="34"/>
      <c r="M109" s="37">
        <f>G16</f>
        <v>0.91189036314922212</v>
      </c>
      <c r="N109" s="38"/>
      <c r="O109" s="33"/>
    </row>
    <row r="110" spans="1:15" ht="15.75" thickBot="1" x14ac:dyDescent="0.3">
      <c r="A110" s="43">
        <f>-B106*D106*E106</f>
        <v>-5720.0278420878085</v>
      </c>
      <c r="B110" s="44">
        <f>-(D106^2)*E106</f>
        <v>-1144.0055730534909</v>
      </c>
      <c r="C110" s="44">
        <f>B106*D106*E106</f>
        <v>5720.0278420878085</v>
      </c>
      <c r="D110" s="44">
        <f>E106*(D106^2)</f>
        <v>1144.0055730534909</v>
      </c>
      <c r="E110" s="45"/>
      <c r="F110" s="35">
        <v>16</v>
      </c>
      <c r="L110" s="34"/>
      <c r="M110" s="37">
        <f>G17</f>
        <v>-2.690553487542132</v>
      </c>
      <c r="N110" s="38"/>
      <c r="O110" s="33"/>
    </row>
    <row r="111" spans="1:15" ht="15.75" thickBot="1" x14ac:dyDescent="0.3">
      <c r="A111" s="32">
        <v>15</v>
      </c>
      <c r="B111" s="33">
        <v>16</v>
      </c>
      <c r="C111" s="33">
        <v>9</v>
      </c>
      <c r="D111" s="33">
        <v>10</v>
      </c>
      <c r="E111" s="169"/>
      <c r="F111" s="35"/>
      <c r="M111" s="170"/>
    </row>
    <row r="112" spans="1:15" x14ac:dyDescent="0.25">
      <c r="A112" s="26" t="s">
        <v>54</v>
      </c>
      <c r="B112" s="27">
        <f>(F37-D37)/C37</f>
        <v>0.98058067553808659</v>
      </c>
      <c r="C112" s="28" t="s">
        <v>55</v>
      </c>
      <c r="D112" s="27">
        <f>(G37-E37)/C37</f>
        <v>-0.19611613590235169</v>
      </c>
      <c r="E112" s="29">
        <f>(H37*I37)/(C37)</f>
        <v>41184.388372599635</v>
      </c>
      <c r="F112" s="35"/>
      <c r="M112" s="170"/>
    </row>
    <row r="113" spans="1:21" x14ac:dyDescent="0.25">
      <c r="A113" s="32">
        <f>E112*(B112^2)</f>
        <v>39600.373422847704</v>
      </c>
      <c r="B113" s="33">
        <f>E112*D112*B112</f>
        <v>-7920.0747166645833</v>
      </c>
      <c r="C113" s="33">
        <f>-A113</f>
        <v>-39600.373422847704</v>
      </c>
      <c r="D113" s="33">
        <f>-B112*D112*E112</f>
        <v>7920.0747166645833</v>
      </c>
      <c r="E113" s="34"/>
      <c r="F113" s="35">
        <v>15</v>
      </c>
      <c r="H113" s="36">
        <v>15</v>
      </c>
      <c r="I113" s="36">
        <v>16</v>
      </c>
      <c r="J113" s="36">
        <v>9</v>
      </c>
      <c r="K113" s="36">
        <v>10</v>
      </c>
      <c r="L113" s="34"/>
      <c r="M113" s="37">
        <f>G16</f>
        <v>0.91189036314922212</v>
      </c>
      <c r="N113" s="38"/>
    </row>
    <row r="114" spans="1:21" ht="15.75" x14ac:dyDescent="0.25">
      <c r="A114" s="32">
        <f>E112*B112*D112</f>
        <v>-7920.0747166645833</v>
      </c>
      <c r="B114" s="33">
        <f>E112*(D112^2)</f>
        <v>1584.0149497519251</v>
      </c>
      <c r="C114" s="33">
        <f>-B112*D112*E112</f>
        <v>7920.0747166645833</v>
      </c>
      <c r="D114" s="33">
        <f>-(D112^2)*E112</f>
        <v>-1584.0149497519251</v>
      </c>
      <c r="E114" s="179">
        <v>13</v>
      </c>
      <c r="F114" s="35">
        <v>16</v>
      </c>
      <c r="G114" s="39" t="s">
        <v>164</v>
      </c>
      <c r="H114" s="36">
        <f>-B112*E112</f>
        <v>-40384.615372026667</v>
      </c>
      <c r="I114" s="36">
        <f>-D112*E112</f>
        <v>8076.9231071359827</v>
      </c>
      <c r="J114" s="36">
        <f>B112*E112</f>
        <v>40384.615372026667</v>
      </c>
      <c r="K114" s="40">
        <f>D112*E112</f>
        <v>-8076.9231071359827</v>
      </c>
      <c r="L114" s="34"/>
      <c r="M114" s="37">
        <f>G17</f>
        <v>-2.690553487542132</v>
      </c>
      <c r="N114" s="41" t="s">
        <v>57</v>
      </c>
      <c r="O114" s="42">
        <f>H114*M113+I114*M114+J114*M115+K114*M116</f>
        <v>-3173.1198444025504</v>
      </c>
    </row>
    <row r="115" spans="1:21" x14ac:dyDescent="0.25">
      <c r="A115" s="32">
        <f>-(B112^2)*E112</f>
        <v>-39600.373422847704</v>
      </c>
      <c r="B115" s="33">
        <f>-B112*D112*E112</f>
        <v>7920.0747166645833</v>
      </c>
      <c r="C115" s="33">
        <f>E112*(B112^2)</f>
        <v>39600.373422847704</v>
      </c>
      <c r="D115" s="33">
        <f>B112*D112*E112</f>
        <v>-7920.0747166645833</v>
      </c>
      <c r="E115" s="34"/>
      <c r="F115" s="35">
        <v>9</v>
      </c>
      <c r="L115" s="34"/>
      <c r="M115" s="37">
        <f>G11</f>
        <v>1.3714285714285714</v>
      </c>
      <c r="N115" s="38"/>
      <c r="O115" s="33"/>
    </row>
    <row r="116" spans="1:21" ht="15.75" thickBot="1" x14ac:dyDescent="0.3">
      <c r="A116" s="43">
        <f>-B112*D112*E112</f>
        <v>7920.0747166645833</v>
      </c>
      <c r="B116" s="44">
        <f>-(D112^2)*E112</f>
        <v>-1584.0149497519251</v>
      </c>
      <c r="C116" s="44">
        <f>B112*D112*E112</f>
        <v>-7920.0747166645833</v>
      </c>
      <c r="D116" s="44">
        <f>E112*(D112^2)</f>
        <v>1584.0149497519251</v>
      </c>
      <c r="E116" s="45"/>
      <c r="F116" s="35">
        <v>10</v>
      </c>
      <c r="L116" s="34"/>
      <c r="M116" s="37">
        <v>0</v>
      </c>
      <c r="N116" s="38"/>
      <c r="O116" s="33"/>
    </row>
    <row r="117" spans="1:21" x14ac:dyDescent="0.25">
      <c r="B117" s="36">
        <v>1</v>
      </c>
      <c r="C117" s="36">
        <v>2</v>
      </c>
      <c r="D117" s="36">
        <v>10</v>
      </c>
      <c r="E117" s="36">
        <v>3</v>
      </c>
      <c r="F117" s="36">
        <v>4</v>
      </c>
      <c r="G117" s="36">
        <v>5</v>
      </c>
      <c r="H117" s="36">
        <v>6</v>
      </c>
      <c r="I117" s="36">
        <v>7</v>
      </c>
      <c r="J117" s="36">
        <v>8</v>
      </c>
      <c r="K117" s="36">
        <v>9</v>
      </c>
      <c r="L117" s="36">
        <v>11</v>
      </c>
      <c r="M117" s="36">
        <v>12</v>
      </c>
      <c r="N117" s="36">
        <v>13</v>
      </c>
      <c r="O117" s="36">
        <v>14</v>
      </c>
      <c r="P117" s="36">
        <v>15</v>
      </c>
      <c r="Q117" s="36">
        <v>16</v>
      </c>
    </row>
    <row r="118" spans="1:21" x14ac:dyDescent="0.25">
      <c r="A118" s="213">
        <v>1</v>
      </c>
      <c r="B118" s="36">
        <f>A41+A95</f>
        <v>13692.123393059341</v>
      </c>
      <c r="C118" s="36">
        <f>B41+B95</f>
        <v>1896.6746862978885</v>
      </c>
      <c r="D118" s="174">
        <v>0</v>
      </c>
      <c r="E118" s="36">
        <f>C41</f>
        <v>-4208.7499999999991</v>
      </c>
      <c r="F118" s="36">
        <f>D41</f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f>C95</f>
        <v>-9483.3733930593407</v>
      </c>
      <c r="M118" s="36">
        <f>D95</f>
        <v>-1896.6746862978885</v>
      </c>
      <c r="N118" s="36">
        <v>0</v>
      </c>
      <c r="O118" s="36">
        <v>0</v>
      </c>
      <c r="P118" s="36">
        <v>0</v>
      </c>
      <c r="Q118" s="40">
        <v>0</v>
      </c>
      <c r="R118" s="175"/>
      <c r="S118" s="33">
        <v>0</v>
      </c>
      <c r="T118" s="176"/>
      <c r="U118" s="55" t="s">
        <v>58</v>
      </c>
    </row>
    <row r="119" spans="1:21" x14ac:dyDescent="0.25">
      <c r="A119" s="213">
        <v>2</v>
      </c>
      <c r="B119" s="36">
        <f>A42+A96</f>
        <v>1896.6746862978882</v>
      </c>
      <c r="C119" s="36">
        <f>B42+B96</f>
        <v>379.33493879678167</v>
      </c>
      <c r="D119" s="174">
        <v>0</v>
      </c>
      <c r="E119" s="36">
        <f>C42</f>
        <v>0</v>
      </c>
      <c r="F119" s="36">
        <f>D42</f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f>C96</f>
        <v>-1896.6746862978885</v>
      </c>
      <c r="M119" s="36">
        <f>D96</f>
        <v>-379.33493879678167</v>
      </c>
      <c r="N119" s="36">
        <v>0</v>
      </c>
      <c r="O119" s="36">
        <v>0</v>
      </c>
      <c r="P119" s="36">
        <v>0</v>
      </c>
      <c r="Q119" s="40">
        <v>0</v>
      </c>
      <c r="R119" s="175"/>
      <c r="S119" s="33">
        <v>0</v>
      </c>
      <c r="T119" s="176"/>
      <c r="U119" s="55" t="s">
        <v>59</v>
      </c>
    </row>
    <row r="120" spans="1:21" ht="15.75" thickBot="1" x14ac:dyDescent="0.3">
      <c r="A120" s="213">
        <v>10</v>
      </c>
      <c r="B120" s="177">
        <v>0</v>
      </c>
      <c r="C120" s="47">
        <v>0</v>
      </c>
      <c r="D120" s="178">
        <f>D62+D116</f>
        <v>1584.0149497519251</v>
      </c>
      <c r="E120" s="47">
        <v>0</v>
      </c>
      <c r="F120" s="47">
        <v>0</v>
      </c>
      <c r="G120" s="47">
        <v>0</v>
      </c>
      <c r="H120" s="47">
        <v>0</v>
      </c>
      <c r="I120" s="47">
        <f>A62</f>
        <v>0</v>
      </c>
      <c r="J120" s="47">
        <f>B62</f>
        <v>0</v>
      </c>
      <c r="K120" s="47">
        <f>C62+C116</f>
        <v>-7920.0747166645833</v>
      </c>
      <c r="L120" s="47">
        <v>0</v>
      </c>
      <c r="M120" s="47">
        <v>0</v>
      </c>
      <c r="N120" s="47">
        <v>0</v>
      </c>
      <c r="O120" s="47">
        <v>0</v>
      </c>
      <c r="P120" s="47">
        <f>A116</f>
        <v>7920.0747166645833</v>
      </c>
      <c r="Q120" s="49">
        <f>B116</f>
        <v>-1584.0149497519251</v>
      </c>
      <c r="R120" s="175"/>
      <c r="S120" s="33">
        <v>0</v>
      </c>
      <c r="T120" s="176"/>
      <c r="U120" s="55" t="s">
        <v>60</v>
      </c>
    </row>
    <row r="121" spans="1:21" x14ac:dyDescent="0.25">
      <c r="A121" s="213">
        <v>3</v>
      </c>
      <c r="B121" s="36">
        <f>A43</f>
        <v>-4208.7499999999991</v>
      </c>
      <c r="C121" s="36">
        <f>B43</f>
        <v>0</v>
      </c>
      <c r="D121" s="174">
        <v>0</v>
      </c>
      <c r="E121" s="36">
        <f>C43+A47+A77</f>
        <v>8408.75</v>
      </c>
      <c r="F121" s="36">
        <f>D43+B47</f>
        <v>0</v>
      </c>
      <c r="G121" s="36">
        <f>C47</f>
        <v>-4200</v>
      </c>
      <c r="H121" s="36">
        <f>D47</f>
        <v>0</v>
      </c>
      <c r="I121" s="36">
        <v>0</v>
      </c>
      <c r="J121" s="36">
        <v>0</v>
      </c>
      <c r="K121" s="36">
        <v>0</v>
      </c>
      <c r="L121" s="36">
        <f>C77</f>
        <v>0</v>
      </c>
      <c r="M121" s="36">
        <f>D77</f>
        <v>0</v>
      </c>
      <c r="N121" s="36">
        <v>0</v>
      </c>
      <c r="O121" s="36">
        <v>0</v>
      </c>
      <c r="P121" s="36">
        <v>0</v>
      </c>
      <c r="Q121" s="40">
        <v>0</v>
      </c>
      <c r="R121" s="175"/>
      <c r="S121" s="36" t="s">
        <v>61</v>
      </c>
      <c r="T121" s="176"/>
      <c r="U121" s="55">
        <f>T26</f>
        <v>3</v>
      </c>
    </row>
    <row r="122" spans="1:21" x14ac:dyDescent="0.25">
      <c r="A122" s="213">
        <v>4</v>
      </c>
      <c r="B122" s="36">
        <f>A44</f>
        <v>0</v>
      </c>
      <c r="C122" s="36">
        <f>B44</f>
        <v>0</v>
      </c>
      <c r="D122" s="174">
        <v>0</v>
      </c>
      <c r="E122" s="36">
        <f>C44+A48+A78</f>
        <v>0</v>
      </c>
      <c r="F122" s="36">
        <f>D44+B48+B78</f>
        <v>20999.999914900312</v>
      </c>
      <c r="G122" s="36">
        <f>D47</f>
        <v>0</v>
      </c>
      <c r="H122" s="36">
        <f>D48</f>
        <v>0</v>
      </c>
      <c r="I122" s="36">
        <v>0</v>
      </c>
      <c r="J122" s="36">
        <v>0</v>
      </c>
      <c r="K122" s="36">
        <v>0</v>
      </c>
      <c r="L122" s="36">
        <f>C78</f>
        <v>0</v>
      </c>
      <c r="M122" s="36">
        <f>D78</f>
        <v>-20999.999914900312</v>
      </c>
      <c r="N122" s="36">
        <v>0</v>
      </c>
      <c r="O122" s="36">
        <v>0</v>
      </c>
      <c r="P122" s="36">
        <v>0</v>
      </c>
      <c r="Q122" s="40">
        <v>0</v>
      </c>
      <c r="R122" s="175"/>
      <c r="S122" s="36" t="s">
        <v>146</v>
      </c>
      <c r="T122" s="176"/>
      <c r="U122" s="55">
        <f>U26</f>
        <v>4</v>
      </c>
    </row>
    <row r="123" spans="1:21" x14ac:dyDescent="0.25">
      <c r="A123" s="213">
        <v>5</v>
      </c>
      <c r="B123" s="36">
        <v>0</v>
      </c>
      <c r="C123" s="36">
        <v>0</v>
      </c>
      <c r="D123" s="174">
        <v>0</v>
      </c>
      <c r="E123" s="36">
        <f>A49</f>
        <v>-4200</v>
      </c>
      <c r="F123" s="36">
        <f>B49</f>
        <v>0</v>
      </c>
      <c r="G123" s="36">
        <f>C49+A53+A83+C103+A107</f>
        <v>51160.611849267152</v>
      </c>
      <c r="H123" s="36">
        <f>B55</f>
        <v>0</v>
      </c>
      <c r="I123" s="36">
        <f>C53</f>
        <v>-9101.4583350470348</v>
      </c>
      <c r="J123" s="36">
        <f>D53</f>
        <v>0</v>
      </c>
      <c r="K123" s="36">
        <v>0</v>
      </c>
      <c r="L123" s="36">
        <f>A103</f>
        <v>-9259.0144196793135</v>
      </c>
      <c r="M123" s="36">
        <f>B103</f>
        <v>1851.8028914400461</v>
      </c>
      <c r="N123" s="36">
        <f>C83</f>
        <v>0</v>
      </c>
      <c r="O123" s="36">
        <f>D83</f>
        <v>0</v>
      </c>
      <c r="P123" s="36">
        <f>C107</f>
        <v>-28600.139094540806</v>
      </c>
      <c r="Q123" s="40">
        <f>D107</f>
        <v>-5720.0278420878085</v>
      </c>
      <c r="R123" s="175"/>
      <c r="S123" s="36" t="s">
        <v>62</v>
      </c>
      <c r="T123" s="176"/>
      <c r="U123" s="55">
        <f>T27</f>
        <v>5</v>
      </c>
    </row>
    <row r="124" spans="1:21" x14ac:dyDescent="0.25">
      <c r="A124" s="213">
        <v>6</v>
      </c>
      <c r="B124" s="36">
        <v>0</v>
      </c>
      <c r="C124" s="36">
        <v>0</v>
      </c>
      <c r="D124" s="174">
        <v>0</v>
      </c>
      <c r="E124" s="36">
        <f>A50</f>
        <v>0</v>
      </c>
      <c r="F124" s="36">
        <f>B50</f>
        <v>0</v>
      </c>
      <c r="G124" s="36">
        <f>C50+A54+A84+C104+A108</f>
        <v>3868.2249506477624</v>
      </c>
      <c r="H124" s="36">
        <f>D50+B54+B84+D104+B108</f>
        <v>22514.366068032399</v>
      </c>
      <c r="I124" s="36">
        <f>C54</f>
        <v>0</v>
      </c>
      <c r="J124" s="36">
        <f>D54</f>
        <v>0</v>
      </c>
      <c r="K124" s="36">
        <v>0</v>
      </c>
      <c r="L124" s="36">
        <f>A104</f>
        <v>1851.8028914400461</v>
      </c>
      <c r="M124" s="36">
        <f>B104</f>
        <v>-370.36057978884583</v>
      </c>
      <c r="N124" s="36">
        <f>C84</f>
        <v>0</v>
      </c>
      <c r="O124" s="36">
        <f>D84</f>
        <v>-20999.999915190063</v>
      </c>
      <c r="P124" s="36">
        <f>C108</f>
        <v>-5720.0278420878085</v>
      </c>
      <c r="Q124" s="40">
        <f>D108</f>
        <v>-1144.0055730534909</v>
      </c>
      <c r="R124" s="175"/>
      <c r="S124" s="36" t="s">
        <v>63</v>
      </c>
      <c r="T124" s="176"/>
      <c r="U124" s="55">
        <f>U27</f>
        <v>0</v>
      </c>
    </row>
    <row r="125" spans="1:21" ht="21" x14ac:dyDescent="0.35">
      <c r="A125" s="213">
        <v>7</v>
      </c>
      <c r="B125" s="36">
        <v>0</v>
      </c>
      <c r="C125" s="36">
        <v>0</v>
      </c>
      <c r="D125" s="174">
        <f>D58</f>
        <v>0</v>
      </c>
      <c r="E125" s="36">
        <v>0</v>
      </c>
      <c r="F125" s="36">
        <v>0</v>
      </c>
      <c r="G125" s="36">
        <f>A55</f>
        <v>-9101.4583350470348</v>
      </c>
      <c r="H125" s="36">
        <v>0</v>
      </c>
      <c r="I125" s="36">
        <f>C55+A59+A89</f>
        <v>18202.91667009407</v>
      </c>
      <c r="J125" s="36">
        <f>D55+B60+B89</f>
        <v>0</v>
      </c>
      <c r="K125" s="36">
        <f>C59</f>
        <v>-9101.458335047033</v>
      </c>
      <c r="L125" s="36">
        <v>0</v>
      </c>
      <c r="M125" s="36">
        <v>0</v>
      </c>
      <c r="N125" s="36">
        <v>0</v>
      </c>
      <c r="O125" s="36">
        <v>0</v>
      </c>
      <c r="P125" s="36">
        <f>C89</f>
        <v>0</v>
      </c>
      <c r="Q125" s="40">
        <f>D89</f>
        <v>0</v>
      </c>
      <c r="R125" s="215" t="s">
        <v>145</v>
      </c>
      <c r="S125" s="36" t="s">
        <v>101</v>
      </c>
      <c r="T125" s="214" t="s">
        <v>57</v>
      </c>
      <c r="U125" s="55">
        <f>T28</f>
        <v>0</v>
      </c>
    </row>
    <row r="126" spans="1:21" x14ac:dyDescent="0.25">
      <c r="A126" s="213">
        <v>8</v>
      </c>
      <c r="B126" s="36">
        <v>0</v>
      </c>
      <c r="C126" s="36">
        <v>0</v>
      </c>
      <c r="D126" s="174">
        <f>D60</f>
        <v>0</v>
      </c>
      <c r="E126" s="36">
        <v>0</v>
      </c>
      <c r="F126" s="36">
        <v>0</v>
      </c>
      <c r="G126" s="36">
        <f>A56</f>
        <v>0</v>
      </c>
      <c r="H126" s="36">
        <f>B56</f>
        <v>0</v>
      </c>
      <c r="I126" s="36">
        <f>C56+A60+A90</f>
        <v>0</v>
      </c>
      <c r="J126" s="36">
        <f>D56+B60+B90</f>
        <v>20999.999914900312</v>
      </c>
      <c r="K126" s="36">
        <f>C60</f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f>C90</f>
        <v>0</v>
      </c>
      <c r="Q126" s="40">
        <f>D90</f>
        <v>-20999.999914900312</v>
      </c>
      <c r="R126" s="175"/>
      <c r="S126" s="36" t="s">
        <v>102</v>
      </c>
      <c r="T126" s="176"/>
      <c r="U126" s="55">
        <f>U28</f>
        <v>8</v>
      </c>
    </row>
    <row r="127" spans="1:21" x14ac:dyDescent="0.25">
      <c r="A127" s="213">
        <v>9</v>
      </c>
      <c r="B127" s="36">
        <v>0</v>
      </c>
      <c r="C127" s="36">
        <v>0</v>
      </c>
      <c r="D127" s="174">
        <f>D61+D115</f>
        <v>-7920.0747166645833</v>
      </c>
      <c r="E127" s="36">
        <v>0</v>
      </c>
      <c r="F127" s="36">
        <v>0</v>
      </c>
      <c r="G127" s="36">
        <v>0</v>
      </c>
      <c r="H127" s="36">
        <v>0</v>
      </c>
      <c r="I127" s="36">
        <f>A61</f>
        <v>-9101.458335047033</v>
      </c>
      <c r="J127" s="36">
        <f>B61</f>
        <v>0</v>
      </c>
      <c r="K127" s="36">
        <f>C61+C115</f>
        <v>48701.831757894739</v>
      </c>
      <c r="L127" s="36">
        <v>0</v>
      </c>
      <c r="M127" s="36">
        <v>0</v>
      </c>
      <c r="N127" s="36">
        <v>0</v>
      </c>
      <c r="O127" s="36">
        <v>0</v>
      </c>
      <c r="P127" s="36">
        <f>A115</f>
        <v>-39600.373422847704</v>
      </c>
      <c r="Q127" s="40">
        <f>B115</f>
        <v>7920.0747166645833</v>
      </c>
      <c r="R127" s="175"/>
      <c r="S127" s="36" t="s">
        <v>103</v>
      </c>
      <c r="T127" s="176"/>
      <c r="U127" s="55">
        <f>T29</f>
        <v>9</v>
      </c>
    </row>
    <row r="128" spans="1:21" x14ac:dyDescent="0.25">
      <c r="A128" s="213">
        <v>11</v>
      </c>
      <c r="B128" s="36">
        <f>A97</f>
        <v>-9483.3733930593407</v>
      </c>
      <c r="C128" s="36">
        <f>B97</f>
        <v>-1896.6746862978885</v>
      </c>
      <c r="D128" s="174">
        <v>0</v>
      </c>
      <c r="E128" s="36">
        <f>A79</f>
        <v>0</v>
      </c>
      <c r="F128" s="36">
        <f>B79</f>
        <v>0</v>
      </c>
      <c r="G128" s="36">
        <f>C101</f>
        <v>-9259.0144196793135</v>
      </c>
      <c r="H128" s="36">
        <f>D101</f>
        <v>1851.8028914400461</v>
      </c>
      <c r="I128" s="36">
        <f>A62</f>
        <v>0</v>
      </c>
      <c r="J128" s="36">
        <v>0</v>
      </c>
      <c r="K128" s="36">
        <v>0</v>
      </c>
      <c r="L128" s="36">
        <f>A65+C79+C97+A101</f>
        <v>38202.387810729597</v>
      </c>
      <c r="M128" s="36">
        <f>B65+D79+D97+B101</f>
        <v>44.871794857842588</v>
      </c>
      <c r="N128" s="36">
        <f>C65</f>
        <v>-19459.999997990941</v>
      </c>
      <c r="O128" s="36">
        <f>D65</f>
        <v>0</v>
      </c>
      <c r="P128" s="36">
        <v>0</v>
      </c>
      <c r="Q128" s="40">
        <v>0</v>
      </c>
      <c r="R128" s="175"/>
      <c r="S128" s="36" t="s">
        <v>105</v>
      </c>
      <c r="T128" s="176"/>
      <c r="U128" s="55">
        <f>T30</f>
        <v>11</v>
      </c>
    </row>
    <row r="129" spans="1:21" x14ac:dyDescent="0.25">
      <c r="A129" s="213">
        <v>12</v>
      </c>
      <c r="B129" s="36">
        <f>A98</f>
        <v>-1896.6746862978885</v>
      </c>
      <c r="C129" s="36">
        <f>B98</f>
        <v>-379.33493879678167</v>
      </c>
      <c r="D129" s="174">
        <v>0</v>
      </c>
      <c r="E129" s="36">
        <f>A80</f>
        <v>0</v>
      </c>
      <c r="F129" s="36">
        <f>B80</f>
        <v>-20999.999914900312</v>
      </c>
      <c r="G129" s="36">
        <f>C102</f>
        <v>1851.8028914400461</v>
      </c>
      <c r="H129" s="36">
        <f>D102</f>
        <v>-370.36057978884583</v>
      </c>
      <c r="I129" s="36">
        <v>0</v>
      </c>
      <c r="J129" s="36">
        <v>0</v>
      </c>
      <c r="K129" s="36">
        <v>0</v>
      </c>
      <c r="L129" s="36">
        <f>A66+C80+C98+A102</f>
        <v>44.87179485784236</v>
      </c>
      <c r="M129" s="36">
        <f>B66+D80+D98+B102</f>
        <v>21749.69543348594</v>
      </c>
      <c r="N129" s="36">
        <f>C66</f>
        <v>0</v>
      </c>
      <c r="O129" s="36">
        <f>D66</f>
        <v>0</v>
      </c>
      <c r="P129" s="36">
        <v>0</v>
      </c>
      <c r="Q129" s="40">
        <v>0</v>
      </c>
      <c r="R129" s="175"/>
      <c r="S129" s="36" t="s">
        <v>106</v>
      </c>
      <c r="T129" s="176"/>
      <c r="U129" s="55">
        <f>U30</f>
        <v>12</v>
      </c>
    </row>
    <row r="130" spans="1:21" x14ac:dyDescent="0.25">
      <c r="A130" s="213">
        <v>13</v>
      </c>
      <c r="B130" s="36">
        <v>0</v>
      </c>
      <c r="C130" s="36">
        <v>0</v>
      </c>
      <c r="D130" s="174">
        <v>0</v>
      </c>
      <c r="E130" s="36">
        <v>0</v>
      </c>
      <c r="F130" s="36">
        <v>0</v>
      </c>
      <c r="G130" s="36">
        <f>A85</f>
        <v>0</v>
      </c>
      <c r="H130" s="36">
        <f>B85</f>
        <v>0</v>
      </c>
      <c r="I130" s="36">
        <v>0</v>
      </c>
      <c r="J130" s="36">
        <v>0</v>
      </c>
      <c r="K130" s="36">
        <v>0</v>
      </c>
      <c r="L130" s="36">
        <f>A67</f>
        <v>-19459.999997990941</v>
      </c>
      <c r="M130" s="36">
        <f>B67</f>
        <v>0</v>
      </c>
      <c r="N130" s="36">
        <f>C67+A71+C85</f>
        <v>37916.666666666642</v>
      </c>
      <c r="O130" s="36">
        <f>D67+B71+D85</f>
        <v>0</v>
      </c>
      <c r="P130" s="36">
        <f>C71</f>
        <v>-18456.666668675705</v>
      </c>
      <c r="Q130" s="40">
        <f>D71</f>
        <v>0</v>
      </c>
      <c r="R130" s="175"/>
      <c r="S130" s="36" t="s">
        <v>147</v>
      </c>
      <c r="T130" s="176"/>
      <c r="U130" s="55">
        <f>T31</f>
        <v>13000</v>
      </c>
    </row>
    <row r="131" spans="1:21" x14ac:dyDescent="0.25">
      <c r="A131" s="213">
        <v>14</v>
      </c>
      <c r="B131" s="36">
        <v>0</v>
      </c>
      <c r="C131" s="36">
        <v>0</v>
      </c>
      <c r="D131" s="174">
        <v>0</v>
      </c>
      <c r="E131" s="36">
        <v>0</v>
      </c>
      <c r="F131" s="36">
        <v>0</v>
      </c>
      <c r="G131" s="36">
        <f>A86</f>
        <v>0</v>
      </c>
      <c r="H131" s="36">
        <f>B86</f>
        <v>-20999.999915190063</v>
      </c>
      <c r="I131" s="36">
        <v>0</v>
      </c>
      <c r="J131" s="36">
        <v>0</v>
      </c>
      <c r="K131" s="36">
        <v>0</v>
      </c>
      <c r="L131" s="36">
        <f>A68</f>
        <v>0</v>
      </c>
      <c r="M131" s="36">
        <f>B68</f>
        <v>0</v>
      </c>
      <c r="N131" s="36">
        <f>C68+A72+C86</f>
        <v>0</v>
      </c>
      <c r="O131" s="36">
        <f>D68+B72+D86</f>
        <v>20999.999915190063</v>
      </c>
      <c r="P131" s="36">
        <f>C72</f>
        <v>0</v>
      </c>
      <c r="Q131" s="40">
        <f>D72</f>
        <v>0</v>
      </c>
      <c r="R131" s="175"/>
      <c r="S131" s="36" t="s">
        <v>148</v>
      </c>
      <c r="T131" s="176"/>
      <c r="U131" s="55">
        <f>U31</f>
        <v>14</v>
      </c>
    </row>
    <row r="132" spans="1:21" x14ac:dyDescent="0.25">
      <c r="A132" s="213">
        <v>15</v>
      </c>
      <c r="B132" s="36">
        <v>0</v>
      </c>
      <c r="C132" s="36">
        <v>0</v>
      </c>
      <c r="D132" s="174">
        <f>D113</f>
        <v>7920.0747166645833</v>
      </c>
      <c r="E132" s="36">
        <v>0</v>
      </c>
      <c r="F132" s="36">
        <v>0</v>
      </c>
      <c r="G132" s="36">
        <f>A109</f>
        <v>-28600.139094540806</v>
      </c>
      <c r="H132" s="36">
        <f>B109</f>
        <v>-5720.0278420878085</v>
      </c>
      <c r="I132" s="36">
        <f>A91</f>
        <v>0</v>
      </c>
      <c r="J132" s="36">
        <f>B91</f>
        <v>0</v>
      </c>
      <c r="K132" s="36">
        <f>C113</f>
        <v>-39600.373422847704</v>
      </c>
      <c r="L132" s="36">
        <v>0</v>
      </c>
      <c r="M132" s="36">
        <v>0</v>
      </c>
      <c r="N132" s="36">
        <f>A73</f>
        <v>-18456.666668675705</v>
      </c>
      <c r="O132" s="36">
        <f>B73</f>
        <v>0</v>
      </c>
      <c r="P132" s="36">
        <f>C73+C91+C109+A113</f>
        <v>86657.179186064226</v>
      </c>
      <c r="Q132" s="40">
        <f>D73+D109+B113</f>
        <v>-2200.0468745767748</v>
      </c>
      <c r="R132" s="175"/>
      <c r="S132" s="36" t="s">
        <v>149</v>
      </c>
      <c r="T132" s="176"/>
      <c r="U132" s="55">
        <f>T32</f>
        <v>15</v>
      </c>
    </row>
    <row r="133" spans="1:21" x14ac:dyDescent="0.25">
      <c r="A133" s="213">
        <v>16</v>
      </c>
      <c r="B133" s="36">
        <v>0</v>
      </c>
      <c r="C133" s="36">
        <v>0</v>
      </c>
      <c r="D133" s="174">
        <f>D114</f>
        <v>-1584.0149497519251</v>
      </c>
      <c r="E133" s="36">
        <v>0</v>
      </c>
      <c r="F133" s="36">
        <v>0</v>
      </c>
      <c r="G133" s="36">
        <f>A110</f>
        <v>-5720.0278420878085</v>
      </c>
      <c r="H133" s="36">
        <f>B110</f>
        <v>-1144.0055730534909</v>
      </c>
      <c r="I133" s="36">
        <f>A92</f>
        <v>0</v>
      </c>
      <c r="J133" s="36">
        <f>B92</f>
        <v>-20999.999914900312</v>
      </c>
      <c r="K133" s="36">
        <f>C114</f>
        <v>7920.0747166645833</v>
      </c>
      <c r="L133" s="36">
        <v>0</v>
      </c>
      <c r="M133" s="36">
        <v>0</v>
      </c>
      <c r="N133" s="36">
        <f>A74</f>
        <v>0</v>
      </c>
      <c r="O133" s="36">
        <f>B74</f>
        <v>0</v>
      </c>
      <c r="P133" s="36">
        <f>C74+C92+C110+A114</f>
        <v>-2200.0468745767748</v>
      </c>
      <c r="Q133" s="40">
        <f>D74+D92+D110+B114</f>
        <v>23728.020437705731</v>
      </c>
      <c r="R133" s="175"/>
      <c r="S133" s="36" t="s">
        <v>150</v>
      </c>
      <c r="T133" s="176"/>
      <c r="U133" s="55">
        <f>U32</f>
        <v>16</v>
      </c>
    </row>
    <row r="135" spans="1:21" x14ac:dyDescent="0.25">
      <c r="D135" s="34"/>
      <c r="E135" s="40" t="s">
        <v>61</v>
      </c>
      <c r="F135" s="176"/>
      <c r="G135" s="37">
        <f>G5</f>
        <v>0.34285714285714286</v>
      </c>
    </row>
    <row r="136" spans="1:21" x14ac:dyDescent="0.25">
      <c r="D136" s="34"/>
      <c r="E136" s="40" t="s">
        <v>146</v>
      </c>
      <c r="F136" s="176"/>
      <c r="G136" s="37">
        <f>G6</f>
        <v>-2.7764041848901888</v>
      </c>
    </row>
    <row r="137" spans="1:21" x14ac:dyDescent="0.25">
      <c r="D137" s="34"/>
      <c r="E137" s="40" t="s">
        <v>62</v>
      </c>
      <c r="F137" s="176"/>
      <c r="G137" s="37">
        <f t="shared" ref="G137:G147" si="4">G7</f>
        <v>0.68571428571428572</v>
      </c>
    </row>
    <row r="138" spans="1:21" x14ac:dyDescent="0.25">
      <c r="D138" s="34"/>
      <c r="E138" s="40" t="s">
        <v>63</v>
      </c>
      <c r="F138" s="176"/>
      <c r="G138" s="37">
        <f t="shared" si="4"/>
        <v>-2.1246179074852716</v>
      </c>
    </row>
    <row r="139" spans="1:21" x14ac:dyDescent="0.25">
      <c r="D139" s="34"/>
      <c r="E139" s="40" t="s">
        <v>101</v>
      </c>
      <c r="F139" s="176"/>
      <c r="G139" s="37">
        <f t="shared" si="4"/>
        <v>1.0285714285714287</v>
      </c>
    </row>
    <row r="140" spans="1:21" x14ac:dyDescent="0.25">
      <c r="D140" s="34"/>
      <c r="E140" s="40" t="s">
        <v>102</v>
      </c>
      <c r="F140" s="176"/>
      <c r="G140" s="37">
        <f t="shared" si="4"/>
        <v>-2.6901725351596362</v>
      </c>
      <c r="H140" s="176"/>
      <c r="I140" s="55" t="s">
        <v>58</v>
      </c>
      <c r="J140" s="176"/>
      <c r="K140" s="55">
        <f>ROUND(INDEX(MMULT(E118:Q120,G135:G147),1,1)-T25,3)</f>
        <v>-4825.5</v>
      </c>
    </row>
    <row r="141" spans="1:21" ht="21" x14ac:dyDescent="0.35">
      <c r="D141" s="34"/>
      <c r="E141" s="40" t="s">
        <v>103</v>
      </c>
      <c r="F141" s="214" t="s">
        <v>57</v>
      </c>
      <c r="G141" s="37">
        <f t="shared" si="4"/>
        <v>1.3714285714285714</v>
      </c>
      <c r="H141" s="176"/>
      <c r="I141" s="55" t="s">
        <v>59</v>
      </c>
      <c r="J141" s="214" t="s">
        <v>57</v>
      </c>
      <c r="K141" s="55">
        <f>ROUND(INDEX(MMULT(E118:Q120,G135:G147),2,1)-U25,3)</f>
        <v>-678.3</v>
      </c>
    </row>
    <row r="142" spans="1:21" x14ac:dyDescent="0.25">
      <c r="D142" s="34"/>
      <c r="E142" s="40" t="s">
        <v>105</v>
      </c>
      <c r="F142" s="176"/>
      <c r="G142" s="37">
        <f t="shared" si="4"/>
        <v>0.91189036314922212</v>
      </c>
      <c r="H142" s="176"/>
      <c r="I142" s="55" t="s">
        <v>60</v>
      </c>
      <c r="J142" s="176"/>
      <c r="K142" s="55">
        <f>ROUND(INDEX(MMULT(E118:Q120,G135:G147),3,1)-U29,3)</f>
        <v>612.29999999999995</v>
      </c>
    </row>
    <row r="143" spans="1:21" x14ac:dyDescent="0.25">
      <c r="D143" s="34"/>
      <c r="E143" s="40" t="s">
        <v>106</v>
      </c>
      <c r="F143" s="176"/>
      <c r="G143" s="37">
        <f t="shared" si="4"/>
        <v>-2.7765946610814369</v>
      </c>
    </row>
    <row r="144" spans="1:21" x14ac:dyDescent="0.25">
      <c r="D144" s="34"/>
      <c r="E144" s="40" t="s">
        <v>147</v>
      </c>
      <c r="F144" s="176"/>
      <c r="G144" s="37">
        <f t="shared" si="4"/>
        <v>1.2547475060063651</v>
      </c>
    </row>
    <row r="145" spans="2:12" x14ac:dyDescent="0.25">
      <c r="D145" s="34"/>
      <c r="E145" s="40" t="s">
        <v>148</v>
      </c>
      <c r="F145" s="176"/>
      <c r="G145" s="37">
        <f t="shared" si="4"/>
        <v>-2.1239512408159125</v>
      </c>
    </row>
    <row r="146" spans="2:12" x14ac:dyDescent="0.25">
      <c r="D146" s="34"/>
      <c r="E146" s="40" t="s">
        <v>149</v>
      </c>
      <c r="F146" s="176"/>
      <c r="G146" s="37">
        <f t="shared" si="4"/>
        <v>0.91189036314922212</v>
      </c>
    </row>
    <row r="147" spans="2:12" x14ac:dyDescent="0.25">
      <c r="D147" s="34"/>
      <c r="E147" s="40" t="s">
        <v>150</v>
      </c>
      <c r="F147" s="176"/>
      <c r="G147" s="37">
        <f t="shared" si="4"/>
        <v>-2.690553487542132</v>
      </c>
    </row>
    <row r="148" spans="2:12" ht="15.75" thickBot="1" x14ac:dyDescent="0.3">
      <c r="E148" s="31"/>
      <c r="F148" s="31"/>
    </row>
    <row r="149" spans="2:12" ht="15.75" thickBot="1" x14ac:dyDescent="0.3">
      <c r="B149" s="236" t="s">
        <v>131</v>
      </c>
      <c r="C149" s="237"/>
      <c r="D149" s="237"/>
      <c r="E149" s="238"/>
    </row>
    <row r="150" spans="2:12" ht="15.75" thickBot="1" x14ac:dyDescent="0.3">
      <c r="B150" s="235" t="s">
        <v>151</v>
      </c>
      <c r="C150" s="235"/>
      <c r="D150" s="235"/>
      <c r="E150" s="156">
        <f>E121*$G$5+F121*$G$6+G121*$G$7+H121*$G$8+I121*$G$9+J121*$G$10+K121*$G$11+L121*$G$12+M121*$G$13+N121*$G$14+O121*$G$15+P121*$G$16+Q121*$G$17-U121</f>
        <v>0</v>
      </c>
    </row>
    <row r="151" spans="2:12" ht="15.75" thickBot="1" x14ac:dyDescent="0.3">
      <c r="B151" s="235" t="s">
        <v>152</v>
      </c>
      <c r="C151" s="235"/>
      <c r="D151" s="235"/>
      <c r="E151" s="181">
        <f t="shared" ref="E151:E162" si="5">E122*$G$5+F122*$G$6+G122*$G$7+H122*$G$8+I122*$G$9+J122*$G$10+K122*$G$11+L122*$G$12+M122*$G$13+N122*$G$14+O122*$G$15+P122*$G$16+Q122*$G$17-U122</f>
        <v>0</v>
      </c>
    </row>
    <row r="152" spans="2:12" ht="15.75" thickBot="1" x14ac:dyDescent="0.3">
      <c r="B152" s="235" t="s">
        <v>110</v>
      </c>
      <c r="C152" s="235"/>
      <c r="D152" s="235"/>
      <c r="E152" s="181">
        <f t="shared" si="5"/>
        <v>1.7889578884933144E-7</v>
      </c>
    </row>
    <row r="153" spans="2:12" ht="15.75" thickBot="1" x14ac:dyDescent="0.3">
      <c r="B153" s="235" t="s">
        <v>111</v>
      </c>
      <c r="C153" s="235"/>
      <c r="D153" s="235"/>
      <c r="E153" s="181">
        <f t="shared" si="5"/>
        <v>7.1575414040125906E-8</v>
      </c>
    </row>
    <row r="154" spans="2:12" ht="15.75" thickBot="1" x14ac:dyDescent="0.3">
      <c r="B154" s="235" t="s">
        <v>112</v>
      </c>
      <c r="C154" s="235"/>
      <c r="D154" s="235"/>
      <c r="E154" s="181">
        <f t="shared" si="5"/>
        <v>5.4569682106375694E-12</v>
      </c>
    </row>
    <row r="155" spans="2:12" ht="15.75" thickBot="1" x14ac:dyDescent="0.3">
      <c r="B155" s="235" t="s">
        <v>113</v>
      </c>
      <c r="C155" s="235"/>
      <c r="D155" s="235"/>
      <c r="E155" s="181">
        <f t="shared" si="5"/>
        <v>-7.2759576141834259E-12</v>
      </c>
      <c r="H155" s="31"/>
      <c r="I155" s="31"/>
      <c r="J155" s="31"/>
      <c r="K155" s="31"/>
      <c r="L155" s="31"/>
    </row>
    <row r="156" spans="2:12" ht="15.75" thickBot="1" x14ac:dyDescent="0.3">
      <c r="B156" s="235" t="s">
        <v>114</v>
      </c>
      <c r="C156" s="235"/>
      <c r="D156" s="235"/>
      <c r="E156" s="181">
        <f t="shared" si="5"/>
        <v>0</v>
      </c>
      <c r="H156" s="31"/>
      <c r="I156" s="31"/>
      <c r="J156" s="31"/>
      <c r="K156" s="31"/>
      <c r="L156" s="31"/>
    </row>
    <row r="157" spans="2:12" ht="15.75" thickBot="1" x14ac:dyDescent="0.3">
      <c r="B157" s="235" t="s">
        <v>116</v>
      </c>
      <c r="C157" s="235"/>
      <c r="D157" s="235"/>
      <c r="E157" s="181">
        <f t="shared" si="5"/>
        <v>-3.637978807091713E-12</v>
      </c>
      <c r="H157" s="31"/>
      <c r="I157" s="31"/>
      <c r="J157" s="31"/>
      <c r="K157" s="31"/>
      <c r="L157" s="31"/>
    </row>
    <row r="158" spans="2:12" ht="15.75" thickBot="1" x14ac:dyDescent="0.3">
      <c r="B158" s="235" t="s">
        <v>117</v>
      </c>
      <c r="C158" s="235"/>
      <c r="D158" s="235"/>
      <c r="E158" s="181">
        <f t="shared" si="5"/>
        <v>1.4551915228366852E-11</v>
      </c>
      <c r="H158" s="31"/>
      <c r="I158" s="31"/>
      <c r="J158" s="31"/>
      <c r="K158" s="31"/>
      <c r="L158" s="31"/>
    </row>
    <row r="159" spans="2:12" ht="15.75" thickBot="1" x14ac:dyDescent="0.3">
      <c r="B159" s="235" t="s">
        <v>153</v>
      </c>
      <c r="C159" s="235"/>
      <c r="D159" s="235"/>
      <c r="E159" s="181">
        <f t="shared" si="5"/>
        <v>0</v>
      </c>
      <c r="H159" s="31"/>
      <c r="I159" s="31"/>
      <c r="J159" s="31"/>
      <c r="K159" s="31"/>
      <c r="L159" s="31"/>
    </row>
    <row r="160" spans="2:12" ht="15.75" thickBot="1" x14ac:dyDescent="0.3">
      <c r="B160" s="235" t="s">
        <v>154</v>
      </c>
      <c r="C160" s="235"/>
      <c r="D160" s="235"/>
      <c r="E160" s="181">
        <f t="shared" si="5"/>
        <v>0</v>
      </c>
      <c r="H160" s="31"/>
      <c r="I160" s="31"/>
      <c r="J160" s="31"/>
      <c r="K160" s="31"/>
      <c r="L160" s="31"/>
    </row>
    <row r="161" spans="2:12" ht="15.75" thickBot="1" x14ac:dyDescent="0.3">
      <c r="B161" s="235" t="s">
        <v>155</v>
      </c>
      <c r="C161" s="235"/>
      <c r="D161" s="235"/>
      <c r="E161" s="181">
        <f t="shared" si="5"/>
        <v>-3.5779157769866288E-7</v>
      </c>
      <c r="H161" s="31"/>
      <c r="I161" s="31"/>
      <c r="J161" s="31"/>
      <c r="K161" s="31"/>
      <c r="L161" s="31"/>
    </row>
    <row r="162" spans="2:12" ht="15.75" thickBot="1" x14ac:dyDescent="0.3">
      <c r="B162" s="235" t="s">
        <v>156</v>
      </c>
      <c r="C162" s="235"/>
      <c r="D162" s="235"/>
      <c r="E162" s="181">
        <f t="shared" si="5"/>
        <v>-7.1566319093108177E-8</v>
      </c>
      <c r="H162" s="31"/>
      <c r="I162" s="31"/>
      <c r="J162" s="31"/>
      <c r="K162" s="31"/>
      <c r="L162" s="31"/>
    </row>
    <row r="163" spans="2:12" x14ac:dyDescent="0.25">
      <c r="B163" s="270"/>
      <c r="C163" s="270"/>
      <c r="D163" s="270"/>
      <c r="E163" s="185"/>
      <c r="F163" s="31"/>
      <c r="H163" s="31"/>
      <c r="I163" s="31"/>
      <c r="J163" s="31"/>
      <c r="K163" s="31"/>
      <c r="L163" s="31"/>
    </row>
    <row r="164" spans="2:12" x14ac:dyDescent="0.25">
      <c r="B164" s="269"/>
      <c r="C164" s="269"/>
      <c r="D164" s="269"/>
      <c r="H164" s="31"/>
      <c r="I164" s="31"/>
      <c r="J164" s="31"/>
      <c r="K164" s="31"/>
      <c r="L164" s="31"/>
    </row>
    <row r="165" spans="2:12" x14ac:dyDescent="0.25">
      <c r="B165" s="184"/>
      <c r="C165" s="184"/>
      <c r="D165" s="184"/>
      <c r="H165" s="31"/>
      <c r="I165" s="31"/>
      <c r="J165" s="31"/>
      <c r="K165" s="31"/>
      <c r="L165" s="31"/>
    </row>
    <row r="166" spans="2:12" x14ac:dyDescent="0.25">
      <c r="H166" s="31"/>
      <c r="I166" s="31"/>
      <c r="J166" s="31"/>
      <c r="K166" s="31"/>
      <c r="L166" s="31"/>
    </row>
    <row r="167" spans="2:12" x14ac:dyDescent="0.25">
      <c r="H167" s="31"/>
      <c r="I167" s="31"/>
      <c r="J167" s="31"/>
      <c r="K167" s="31"/>
      <c r="L167" s="31"/>
    </row>
    <row r="168" spans="2:12" x14ac:dyDescent="0.25">
      <c r="H168" s="31"/>
      <c r="I168" s="31"/>
      <c r="J168" s="31"/>
      <c r="K168" s="31"/>
      <c r="L168" s="31"/>
    </row>
    <row r="169" spans="2:12" x14ac:dyDescent="0.25">
      <c r="H169" s="31"/>
      <c r="I169" s="31"/>
      <c r="J169" s="31"/>
      <c r="K169" s="31"/>
      <c r="L169" s="31"/>
    </row>
  </sheetData>
  <mergeCells count="30">
    <mergeCell ref="X21:AA21"/>
    <mergeCell ref="E1:I2"/>
    <mergeCell ref="O23:O24"/>
    <mergeCell ref="B23:B24"/>
    <mergeCell ref="C23:C24"/>
    <mergeCell ref="D23:E23"/>
    <mergeCell ref="F23:G23"/>
    <mergeCell ref="H23:H24"/>
    <mergeCell ref="I23:I24"/>
    <mergeCell ref="A1:D1"/>
    <mergeCell ref="A2:C2"/>
    <mergeCell ref="J23:J24"/>
    <mergeCell ref="K23:K24"/>
    <mergeCell ref="L23:L24"/>
    <mergeCell ref="B149:E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64:D164"/>
    <mergeCell ref="B159:D159"/>
    <mergeCell ref="B160:D160"/>
    <mergeCell ref="B161:D161"/>
    <mergeCell ref="B162:D162"/>
    <mergeCell ref="B163:D163"/>
  </mergeCells>
  <conditionalFormatting sqref="K25">
    <cfRule type="cellIs" dxfId="131" priority="64" operator="equal">
      <formula>IF($K$25=0,$K$25,)</formula>
    </cfRule>
    <cfRule type="cellIs" dxfId="130" priority="65" operator="equal">
      <formula>IF($K$25&lt;0,$K$25,)</formula>
    </cfRule>
    <cfRule type="cellIs" dxfId="129" priority="66" operator="equal">
      <formula>IF($K$25&gt;0,$K$25,)</formula>
    </cfRule>
  </conditionalFormatting>
  <conditionalFormatting sqref="K26">
    <cfRule type="cellIs" dxfId="128" priority="61" stopIfTrue="1" operator="equal">
      <formula>IF($K$26=0,$K$26,)</formula>
    </cfRule>
    <cfRule type="cellIs" dxfId="127" priority="62" stopIfTrue="1" operator="equal">
      <formula>IF($K$26&lt;0,$K$26,)</formula>
    </cfRule>
    <cfRule type="cellIs" dxfId="126" priority="63" operator="equal">
      <formula>IF($K$26&gt;0,$K$26,)</formula>
    </cfRule>
  </conditionalFormatting>
  <conditionalFormatting sqref="K37">
    <cfRule type="cellIs" dxfId="125" priority="58" operator="equal">
      <formula>IF($K$37=0,$K$37,)</formula>
    </cfRule>
    <cfRule type="cellIs" dxfId="124" priority="59" operator="equal">
      <formula>IF($K$37&lt;0,$K$37,)</formula>
    </cfRule>
    <cfRule type="cellIs" dxfId="123" priority="60" operator="equal">
      <formula>IF($K$37&gt;0,$K$37,)</formula>
    </cfRule>
  </conditionalFormatting>
  <conditionalFormatting sqref="K36">
    <cfRule type="cellIs" dxfId="122" priority="55" operator="equal">
      <formula>IF($K$36=0,$K$36,)</formula>
    </cfRule>
    <cfRule type="cellIs" dxfId="121" priority="56" operator="equal">
      <formula>IF($K$36&gt;0,$K$36,)</formula>
    </cfRule>
    <cfRule type="cellIs" dxfId="120" priority="57" operator="equal">
      <formula>IF($K$36&lt;0,$K$36,)</formula>
    </cfRule>
  </conditionalFormatting>
  <conditionalFormatting sqref="K35">
    <cfRule type="cellIs" dxfId="119" priority="52" operator="equal">
      <formula>IF($K$35=0,$K$35,)</formula>
    </cfRule>
    <cfRule type="cellIs" dxfId="118" priority="53" operator="equal">
      <formula>IF($K$35&gt;0,$K$35,)</formula>
    </cfRule>
    <cfRule type="cellIs" dxfId="117" priority="54" operator="equal">
      <formula>IF($K$35&lt;0,$K$35,)</formula>
    </cfRule>
  </conditionalFormatting>
  <conditionalFormatting sqref="K31">
    <cfRule type="cellIs" dxfId="116" priority="49" operator="equal">
      <formula>IF($K$31=0,$K$31,)</formula>
    </cfRule>
    <cfRule type="cellIs" dxfId="115" priority="50" operator="equal">
      <formula>IF($K$31&gt;0,$K$31,)</formula>
    </cfRule>
    <cfRule type="cellIs" dxfId="114" priority="51" operator="equal">
      <formula>IF($K$31&lt;0,$K$31,)</formula>
    </cfRule>
  </conditionalFormatting>
  <conditionalFormatting sqref="K34">
    <cfRule type="cellIs" dxfId="113" priority="46" operator="equal">
      <formula>IF($K$34=0,$K$34,)</formula>
    </cfRule>
    <cfRule type="cellIs" dxfId="112" priority="47" stopIfTrue="1" operator="equal">
      <formula>IF($K$34&lt;0,$K$34,)</formula>
    </cfRule>
    <cfRule type="cellIs" dxfId="111" priority="48" operator="equal">
      <formula>IF($K$34&gt;0,$K$34,)</formula>
    </cfRule>
  </conditionalFormatting>
  <conditionalFormatting sqref="K33">
    <cfRule type="cellIs" dxfId="110" priority="43" operator="equal">
      <formula>IF($K$33=0,$K$33,)</formula>
    </cfRule>
    <cfRule type="cellIs" dxfId="109" priority="44" operator="equal">
      <formula>IF($K$33&lt;0,$K$33,)</formula>
    </cfRule>
    <cfRule type="cellIs" dxfId="108" priority="45" operator="equal">
      <formula>IF($K$33&gt;0,$K$33,)</formula>
    </cfRule>
  </conditionalFormatting>
  <conditionalFormatting sqref="K32">
    <cfRule type="cellIs" dxfId="107" priority="40" operator="equal">
      <formula>IF($K$32=0,$K$32,)</formula>
    </cfRule>
    <cfRule type="cellIs" dxfId="106" priority="41" operator="equal">
      <formula>IF($K$32&gt;0,$K$32,)</formula>
    </cfRule>
    <cfRule type="cellIs" dxfId="105" priority="42" operator="equal">
      <formula>IF($K$32&lt;0,$K$32,)</formula>
    </cfRule>
  </conditionalFormatting>
  <conditionalFormatting sqref="K30">
    <cfRule type="cellIs" dxfId="104" priority="37" operator="equal">
      <formula>IF($K$30=0,$K$30,)</formula>
    </cfRule>
    <cfRule type="cellIs" dxfId="103" priority="38" operator="equal">
      <formula>IF($K$30&gt;0,$K$30,)</formula>
    </cfRule>
    <cfRule type="cellIs" dxfId="102" priority="39" operator="equal">
      <formula>IF($K$30&lt;0,$K$30,)</formula>
    </cfRule>
  </conditionalFormatting>
  <conditionalFormatting sqref="K29">
    <cfRule type="cellIs" dxfId="101" priority="34" stopIfTrue="1" operator="equal">
      <formula>IF($K$29=0,$K$29,)</formula>
    </cfRule>
    <cfRule type="cellIs" dxfId="100" priority="35" stopIfTrue="1" operator="equal">
      <formula>IF($K$29&lt;0,$K$29,)</formula>
    </cfRule>
    <cfRule type="cellIs" dxfId="99" priority="36" operator="equal">
      <formula>IF($K$29&gt;0,$K$29,)</formula>
    </cfRule>
  </conditionalFormatting>
  <conditionalFormatting sqref="K28">
    <cfRule type="cellIs" dxfId="98" priority="31" stopIfTrue="1" operator="equal">
      <formula>IF($K$28=0,$K$28,)</formula>
    </cfRule>
    <cfRule type="cellIs" dxfId="97" priority="32" stopIfTrue="1" operator="equal">
      <formula>IF($K$28&lt;0,$K$28,)</formula>
    </cfRule>
    <cfRule type="cellIs" dxfId="96" priority="33" operator="equal">
      <formula>IF($K$28&gt;0,$K$28,)</formula>
    </cfRule>
  </conditionalFormatting>
  <conditionalFormatting sqref="K27">
    <cfRule type="cellIs" dxfId="95" priority="28" operator="equal">
      <formula>IF($K$27=0,$K$27,)</formula>
    </cfRule>
    <cfRule type="cellIs" dxfId="94" priority="29" operator="equal">
      <formula>IF($K$27&gt;0,$K$27,)</formula>
    </cfRule>
    <cfRule type="cellIs" dxfId="93" priority="30" operator="equal">
      <formula>IF($K$27&lt;0,$K$27,)</formula>
    </cfRule>
  </conditionalFormatting>
  <conditionalFormatting sqref="I5:I17">
    <cfRule type="cellIs" dxfId="92" priority="27" operator="notEqual">
      <formula>0</formula>
    </cfRule>
  </conditionalFormatting>
  <conditionalFormatting sqref="N36">
    <cfRule type="cellIs" dxfId="91" priority="26" operator="equal">
      <formula>IF($L$36&gt;$M$36,$N$36)</formula>
    </cfRule>
  </conditionalFormatting>
  <conditionalFormatting sqref="N37">
    <cfRule type="cellIs" dxfId="90" priority="25" operator="equal">
      <formula>IF($L$37&gt;$M$37,$N$37)</formula>
    </cfRule>
  </conditionalFormatting>
  <conditionalFormatting sqref="N25">
    <cfRule type="cellIs" dxfId="89" priority="24" operator="equal">
      <formula>IF($L$25&gt;$M$25,$N$25)</formula>
    </cfRule>
  </conditionalFormatting>
  <conditionalFormatting sqref="N26">
    <cfRule type="cellIs" dxfId="88" priority="23" operator="equal">
      <formula>IF($L$26&gt;$M$26,$N$26)</formula>
    </cfRule>
  </conditionalFormatting>
  <conditionalFormatting sqref="N27">
    <cfRule type="cellIs" dxfId="87" priority="22" operator="equal">
      <formula>IF($L$27&gt;$M$27,$N$27)</formula>
    </cfRule>
  </conditionalFormatting>
  <conditionalFormatting sqref="N28">
    <cfRule type="cellIs" dxfId="86" priority="21" operator="equal">
      <formula>IF($L$28&gt;$M$28,$N$28)</formula>
    </cfRule>
  </conditionalFormatting>
  <conditionalFormatting sqref="N29">
    <cfRule type="cellIs" dxfId="85" priority="20" operator="equal">
      <formula>IF($L$29&gt;$M$29,$N$29)</formula>
    </cfRule>
  </conditionalFormatting>
  <conditionalFormatting sqref="N30">
    <cfRule type="cellIs" dxfId="84" priority="19" operator="equal">
      <formula>IF($L$30&gt;$M$30,$N$30)</formula>
    </cfRule>
  </conditionalFormatting>
  <conditionalFormatting sqref="N31">
    <cfRule type="cellIs" dxfId="83" priority="18" operator="equal">
      <formula>IF($L$31&gt;$M$31,$N$31)</formula>
    </cfRule>
  </conditionalFormatting>
  <conditionalFormatting sqref="N32">
    <cfRule type="cellIs" dxfId="82" priority="17" operator="equal">
      <formula>IF($L$32&gt;$M$32,$N$32)</formula>
    </cfRule>
  </conditionalFormatting>
  <conditionalFormatting sqref="N33">
    <cfRule type="cellIs" dxfId="81" priority="16" operator="equal">
      <formula>IF($L$33&gt;$M$33,$N$33)</formula>
    </cfRule>
  </conditionalFormatting>
  <conditionalFormatting sqref="N34">
    <cfRule type="cellIs" dxfId="80" priority="15" operator="equal">
      <formula>IF($L$34&gt;$M$34,$N$34)</formula>
    </cfRule>
  </conditionalFormatting>
  <conditionalFormatting sqref="N35">
    <cfRule type="cellIs" dxfId="79" priority="14" operator="equal">
      <formula>IF($L$35&gt;$M$35,$N$35)</formula>
    </cfRule>
  </conditionalFormatting>
  <conditionalFormatting sqref="O25">
    <cfRule type="cellIs" dxfId="78" priority="13" operator="equal">
      <formula>IF($L$25&gt;$M$25,$O$25)</formula>
    </cfRule>
  </conditionalFormatting>
  <conditionalFormatting sqref="O26">
    <cfRule type="cellIs" dxfId="77" priority="12" operator="equal">
      <formula>IF($L$26&gt;$M$26,$O$26)</formula>
    </cfRule>
  </conditionalFormatting>
  <conditionalFormatting sqref="O27">
    <cfRule type="cellIs" dxfId="76" priority="11" operator="equal">
      <formula>IF($L$27&gt;$M$27,$O$27)</formula>
    </cfRule>
  </conditionalFormatting>
  <conditionalFormatting sqref="O28">
    <cfRule type="cellIs" dxfId="75" priority="10" operator="equal">
      <formula>IF($L$28&gt;$M$28,$O$28)</formula>
    </cfRule>
  </conditionalFormatting>
  <conditionalFormatting sqref="O29">
    <cfRule type="cellIs" dxfId="74" priority="9" operator="equal">
      <formula>IF($L$29&gt;$M$29,$O$29)</formula>
    </cfRule>
  </conditionalFormatting>
  <conditionalFormatting sqref="O30">
    <cfRule type="cellIs" dxfId="73" priority="8" operator="equal">
      <formula>IF($L$30&gt;$M$30,$O$30)</formula>
    </cfRule>
  </conditionalFormatting>
  <conditionalFormatting sqref="O31">
    <cfRule type="cellIs" dxfId="72" priority="7" operator="equal">
      <formula>IF($L$31&gt;$M$31,$O$31)</formula>
    </cfRule>
  </conditionalFormatting>
  <conditionalFormatting sqref="O32">
    <cfRule type="cellIs" dxfId="71" priority="6" operator="equal">
      <formula>IF($L$32&gt;$M$32,$O$32)</formula>
    </cfRule>
  </conditionalFormatting>
  <conditionalFormatting sqref="O33">
    <cfRule type="cellIs" dxfId="70" priority="5" operator="equal">
      <formula>IF($L$33&gt;$M$33,$O$33)</formula>
    </cfRule>
  </conditionalFormatting>
  <conditionalFormatting sqref="O34">
    <cfRule type="cellIs" dxfId="69" priority="4" operator="equal">
      <formula>IF($L$34&gt;$M$34,$O$34)</formula>
    </cfRule>
  </conditionalFormatting>
  <conditionalFormatting sqref="O35">
    <cfRule type="cellIs" dxfId="68" priority="3" operator="equal">
      <formula>IF($L$35&gt;$M$35,$O$35)</formula>
    </cfRule>
  </conditionalFormatting>
  <conditionalFormatting sqref="O36">
    <cfRule type="cellIs" dxfId="67" priority="2" operator="equal">
      <formula>IF($L$36&gt;$M$36,$O$36)</formula>
    </cfRule>
  </conditionalFormatting>
  <conditionalFormatting sqref="O37">
    <cfRule type="cellIs" dxfId="66" priority="1" operator="equal">
      <formula>IF($L$37&gt;$M$37,$O$37)</formula>
    </cfRule>
  </conditionalFormatting>
  <dataValidations count="3">
    <dataValidation type="list" allowBlank="1" showInputMessage="1" showErrorMessage="1" errorTitle="NOTATION!" error="Just Number in Shelf is acceptable." sqref="AB21">
      <formula1>"1,5,10,20,50,100,200,500,1000"</formula1>
    </dataValidation>
    <dataValidation type="decimal" operator="greaterThan" allowBlank="1" showInputMessage="1" showErrorMessage="1" error="Just positive number is acceptable_x000a_" sqref="C31 H25:J37 C25 E21">
      <formula1>0</formula1>
    </dataValidation>
    <dataValidation type="decimal" allowBlank="1" showInputMessage="1" showErrorMessage="1" error="Just positive number is acceptable_x000a_Min:0.1                    Max:2" sqref="N23">
      <formula1>0.1</formula1>
      <formula2>2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8"/>
  <sheetViews>
    <sheetView zoomScale="70" zoomScaleNormal="70" workbookViewId="0">
      <selection activeCell="E1" sqref="E1:I2"/>
    </sheetView>
  </sheetViews>
  <sheetFormatPr defaultColWidth="9" defaultRowHeight="15" x14ac:dyDescent="0.25"/>
  <cols>
    <col min="1" max="4" width="9" style="30"/>
    <col min="5" max="5" width="8.7109375" style="30" bestFit="1" customWidth="1"/>
    <col min="6" max="6" width="9" style="30"/>
    <col min="7" max="7" width="7.42578125" style="30" customWidth="1"/>
    <col min="8" max="8" width="9.28515625" style="30" bestFit="1" customWidth="1"/>
    <col min="9" max="9" width="9" style="30" customWidth="1"/>
    <col min="10" max="10" width="8.42578125" style="30" customWidth="1"/>
    <col min="11" max="12" width="9" style="30"/>
    <col min="13" max="13" width="9.28515625" style="30" bestFit="1" customWidth="1"/>
    <col min="14" max="14" width="8.7109375" style="30" customWidth="1"/>
    <col min="15" max="15" width="10.140625" style="30" bestFit="1" customWidth="1"/>
    <col min="16" max="16384" width="9" style="30"/>
  </cols>
  <sheetData>
    <row r="1" spans="1:54" ht="15.75" thickBot="1" x14ac:dyDescent="0.3">
      <c r="A1" s="236" t="s">
        <v>72</v>
      </c>
      <c r="B1" s="237"/>
      <c r="C1" s="237"/>
      <c r="D1" s="238"/>
      <c r="E1" s="272" t="s">
        <v>172</v>
      </c>
      <c r="F1" s="273"/>
      <c r="G1" s="273"/>
      <c r="H1" s="273"/>
      <c r="I1" s="273"/>
      <c r="AR1" s="159"/>
      <c r="AS1" s="158">
        <v>0</v>
      </c>
      <c r="AT1" s="158">
        <v>0</v>
      </c>
      <c r="AU1" s="158">
        <f>D29</f>
        <v>500</v>
      </c>
      <c r="AV1" s="158">
        <f>E29</f>
        <v>100</v>
      </c>
      <c r="AW1" s="158">
        <f>D33</f>
        <v>1500</v>
      </c>
      <c r="AX1" s="158">
        <v>0</v>
      </c>
      <c r="AY1" s="158">
        <f>D37</f>
        <v>1500</v>
      </c>
      <c r="AZ1" s="158">
        <f>E37</f>
        <v>100</v>
      </c>
      <c r="BA1" s="158"/>
      <c r="BB1" s="158"/>
    </row>
    <row r="2" spans="1:54" ht="15.75" thickBot="1" x14ac:dyDescent="0.3">
      <c r="A2" s="257" t="s">
        <v>120</v>
      </c>
      <c r="B2" s="257"/>
      <c r="C2" s="257"/>
      <c r="D2" s="153">
        <f>B6*C25+B7*C26+B8*C27+B9*C28+B10*C29+B11*C30+B12*C31+B13*C32+B14*C33+B15*C34+B16*C35+B17*C36+B18*C37</f>
        <v>14058.694444278817</v>
      </c>
      <c r="E2" s="272"/>
      <c r="F2" s="273"/>
      <c r="G2" s="273"/>
      <c r="H2" s="273"/>
      <c r="I2" s="273"/>
      <c r="AR2" s="159"/>
      <c r="AS2" s="158">
        <f>D26</f>
        <v>500</v>
      </c>
      <c r="AT2" s="158">
        <v>0</v>
      </c>
      <c r="AU2" s="158">
        <f>F29</f>
        <v>1000</v>
      </c>
      <c r="AV2" s="158">
        <f>G29</f>
        <v>100</v>
      </c>
      <c r="AW2" s="158">
        <f>F33</f>
        <v>1500</v>
      </c>
      <c r="AX2" s="158">
        <f>G33</f>
        <v>100</v>
      </c>
      <c r="AY2" s="158">
        <f>F37</f>
        <v>2000</v>
      </c>
      <c r="AZ2" s="158">
        <v>0</v>
      </c>
      <c r="BA2" s="158"/>
      <c r="BB2" s="158"/>
    </row>
    <row r="3" spans="1:54" ht="15.75" thickBot="1" x14ac:dyDescent="0.3">
      <c r="AR3" s="159"/>
      <c r="AS3" s="158">
        <f>D26</f>
        <v>500</v>
      </c>
      <c r="AT3" s="158">
        <v>0</v>
      </c>
      <c r="AU3" s="158">
        <f>D30</f>
        <v>1000</v>
      </c>
      <c r="AV3" s="158">
        <f>E30</f>
        <v>100</v>
      </c>
      <c r="AW3" s="158">
        <v>0</v>
      </c>
      <c r="AX3" s="158">
        <v>0</v>
      </c>
      <c r="AY3" s="158"/>
      <c r="AZ3" s="158"/>
      <c r="BA3" s="158">
        <f>AY10</f>
        <v>2003.1494863588941</v>
      </c>
      <c r="BB3" s="158">
        <v>0</v>
      </c>
    </row>
    <row r="4" spans="1:54" ht="15.75" thickBot="1" x14ac:dyDescent="0.3">
      <c r="C4" s="208" t="s">
        <v>165</v>
      </c>
      <c r="D4" s="208" t="s">
        <v>166</v>
      </c>
      <c r="AR4" s="159"/>
      <c r="AS4" s="158">
        <f>F26</f>
        <v>1000</v>
      </c>
      <c r="AT4" s="158">
        <v>0</v>
      </c>
      <c r="AU4" s="158">
        <f>F30</f>
        <v>1500</v>
      </c>
      <c r="AV4" s="158">
        <f>G30</f>
        <v>100</v>
      </c>
      <c r="AW4" s="158">
        <f>F34</f>
        <v>500</v>
      </c>
      <c r="AX4" s="158">
        <f>G34</f>
        <v>100</v>
      </c>
      <c r="AY4" s="158"/>
      <c r="AZ4" s="158"/>
      <c r="BA4" s="158">
        <f>AY10+25</f>
        <v>2028.1494863588941</v>
      </c>
      <c r="BB4" s="158">
        <f>-25</f>
        <v>-25</v>
      </c>
    </row>
    <row r="5" spans="1:54" ht="15.75" thickBot="1" x14ac:dyDescent="0.3">
      <c r="A5" s="183" t="s">
        <v>5</v>
      </c>
      <c r="B5" s="220">
        <v>100</v>
      </c>
      <c r="C5" s="221">
        <v>100</v>
      </c>
      <c r="D5" s="222">
        <v>500</v>
      </c>
      <c r="F5" s="183" t="s">
        <v>132</v>
      </c>
      <c r="G5" s="187">
        <v>0.34285714285714275</v>
      </c>
      <c r="H5" s="30">
        <f>INDEX(MMULT(MINVERSE($F$122:$Q$133),$U$122:$U$133),1,1)</f>
        <v>0.34285714286308672</v>
      </c>
      <c r="I5" s="200">
        <f>ROUND(ABS((G5-H5)/G5),3)</f>
        <v>0</v>
      </c>
      <c r="AR5" s="159"/>
      <c r="AS5" s="158">
        <f>D27</f>
        <v>1000</v>
      </c>
      <c r="AT5" s="158">
        <v>0</v>
      </c>
      <c r="AU5" s="158">
        <f>D31</f>
        <v>500</v>
      </c>
      <c r="AV5" s="158">
        <v>0</v>
      </c>
      <c r="AW5" s="158">
        <f>D35</f>
        <v>500</v>
      </c>
      <c r="AX5" s="158">
        <f>E35</f>
        <v>100</v>
      </c>
      <c r="AY5" s="158"/>
      <c r="AZ5" s="158"/>
      <c r="BA5" s="158">
        <f>AY10-25</f>
        <v>1978.1494863588941</v>
      </c>
      <c r="BB5" s="158">
        <v>-25</v>
      </c>
    </row>
    <row r="6" spans="1:54" ht="15.75" thickBot="1" x14ac:dyDescent="0.3">
      <c r="A6" s="183" t="s">
        <v>39</v>
      </c>
      <c r="B6" s="220">
        <v>3.5395833331381117</v>
      </c>
      <c r="C6" s="221">
        <v>1</v>
      </c>
      <c r="D6" s="222">
        <v>30</v>
      </c>
      <c r="F6" s="183" t="s">
        <v>133</v>
      </c>
      <c r="G6" s="187">
        <v>-1.3663911207989345</v>
      </c>
      <c r="H6" s="30">
        <f>INDEX(MMULT(MINVERSE($F$122:$Q$133),$U$122:$U$133),2,1)</f>
        <v>-1.3663911207990165</v>
      </c>
      <c r="I6" s="152">
        <f t="shared" ref="I6:I11" si="0">ROUND(ABS((G6-H6)/G6),3)</f>
        <v>0</v>
      </c>
      <c r="AR6" s="159"/>
      <c r="AS6" s="158">
        <f>F27</f>
        <v>1500</v>
      </c>
      <c r="AT6" s="158">
        <v>0</v>
      </c>
      <c r="AU6" s="158">
        <f>F31</f>
        <v>500</v>
      </c>
      <c r="AV6" s="158">
        <f>G31</f>
        <v>100</v>
      </c>
      <c r="AW6" s="158">
        <f>F35</f>
        <v>1000</v>
      </c>
      <c r="AX6" s="158">
        <v>0</v>
      </c>
      <c r="AY6" s="158"/>
      <c r="AZ6" s="158"/>
      <c r="BA6" s="158">
        <f>AY10</f>
        <v>2003.1494863588941</v>
      </c>
      <c r="BB6" s="158">
        <v>0</v>
      </c>
    </row>
    <row r="7" spans="1:54" ht="15.75" thickBot="1" x14ac:dyDescent="0.3">
      <c r="A7" s="183" t="s">
        <v>40</v>
      </c>
      <c r="B7" s="220">
        <v>3.5368055552251825</v>
      </c>
      <c r="C7" s="221">
        <v>1</v>
      </c>
      <c r="D7" s="222">
        <v>30</v>
      </c>
      <c r="F7" s="183" t="s">
        <v>134</v>
      </c>
      <c r="G7" s="187">
        <v>0.68571428573925297</v>
      </c>
      <c r="H7" s="30">
        <f>INDEX(MMULT(MINVERSE($F$122:$Q$133),$U$122:$U$133),3,1)</f>
        <v>0.68571428573927973</v>
      </c>
      <c r="I7" s="200">
        <f t="shared" si="0"/>
        <v>0</v>
      </c>
      <c r="AR7" s="159"/>
      <c r="AS7" s="158">
        <f>D28</f>
        <v>1500</v>
      </c>
      <c r="AT7" s="158">
        <v>0</v>
      </c>
      <c r="AU7" s="158">
        <f>D32</f>
        <v>1000</v>
      </c>
      <c r="AV7" s="158">
        <v>0</v>
      </c>
      <c r="AW7" s="158">
        <f>D36</f>
        <v>1000</v>
      </c>
      <c r="AX7" s="158">
        <v>0</v>
      </c>
      <c r="AY7" s="158"/>
      <c r="AZ7" s="158"/>
      <c r="BA7" s="158"/>
      <c r="BB7" s="158"/>
    </row>
    <row r="8" spans="1:54" ht="15.75" thickBot="1" x14ac:dyDescent="0.3">
      <c r="A8" s="183" t="s">
        <v>41</v>
      </c>
      <c r="B8" s="220">
        <v>1</v>
      </c>
      <c r="C8" s="221">
        <v>1</v>
      </c>
      <c r="D8" s="222">
        <v>30</v>
      </c>
      <c r="F8" s="183" t="s">
        <v>135</v>
      </c>
      <c r="G8" s="187">
        <v>0.69531299662220414</v>
      </c>
      <c r="H8" s="30">
        <f>INDEX(MMULT(MINVERSE($F$122:$Q$133),$U$122:$U$133),4,1)</f>
        <v>0.69531299662218859</v>
      </c>
      <c r="I8" s="200">
        <f t="shared" si="0"/>
        <v>0</v>
      </c>
      <c r="AR8" s="159"/>
      <c r="AS8" s="158">
        <f>F28</f>
        <v>2000</v>
      </c>
      <c r="AT8" s="158">
        <v>0</v>
      </c>
      <c r="AU8" s="158">
        <f>F32</f>
        <v>1000</v>
      </c>
      <c r="AV8" s="158">
        <f>G32</f>
        <v>100</v>
      </c>
      <c r="AW8" s="158">
        <f>F36</f>
        <v>1500</v>
      </c>
      <c r="AX8" s="158">
        <f>G36</f>
        <v>100</v>
      </c>
      <c r="AY8" s="158"/>
      <c r="AZ8" s="158"/>
      <c r="BA8" s="158"/>
      <c r="BB8" s="158"/>
    </row>
    <row r="9" spans="1:54" ht="15.75" thickBot="1" x14ac:dyDescent="0.3">
      <c r="A9" s="183" t="s">
        <v>77</v>
      </c>
      <c r="B9" s="220">
        <v>1.0055555557507789</v>
      </c>
      <c r="C9" s="221">
        <v>1</v>
      </c>
      <c r="D9" s="222">
        <v>30</v>
      </c>
      <c r="F9" s="183" t="s">
        <v>136</v>
      </c>
      <c r="G9" s="187">
        <v>0.34285714285714286</v>
      </c>
      <c r="H9" s="30">
        <f>INDEX(MMULT(MINVERSE($F$122:$Q$133),$U$122:$U$133),5,1)</f>
        <v>0.34285714283623109</v>
      </c>
      <c r="I9" s="200">
        <f t="shared" si="0"/>
        <v>0</v>
      </c>
      <c r="AR9" s="159"/>
      <c r="AS9" s="158">
        <v>0</v>
      </c>
      <c r="AT9" s="158">
        <v>0</v>
      </c>
      <c r="AU9" s="158">
        <f>AU1+G142*AB21</f>
        <v>493.16685391981486</v>
      </c>
      <c r="AV9" s="158">
        <f>AV1+G143*AB21</f>
        <v>104.86377207317989</v>
      </c>
      <c r="AW9" s="158">
        <f>AW1+G139*AB21</f>
        <v>1501.7142857142858</v>
      </c>
      <c r="AX9" s="158">
        <f>AX1+G140*AB21</f>
        <v>13.788418903550042</v>
      </c>
      <c r="AY9" s="158">
        <f>AY1+G146*AB21</f>
        <v>1513.7862760464072</v>
      </c>
      <c r="AZ9" s="158">
        <f>AX16</f>
        <v>100</v>
      </c>
      <c r="BA9" s="158"/>
      <c r="BB9" s="158"/>
    </row>
    <row r="10" spans="1:54" ht="15.75" thickBot="1" x14ac:dyDescent="0.3">
      <c r="A10" s="183" t="s">
        <v>78</v>
      </c>
      <c r="B10" s="220">
        <v>4.6368055555555587</v>
      </c>
      <c r="C10" s="221">
        <v>1</v>
      </c>
      <c r="D10" s="222">
        <v>30</v>
      </c>
      <c r="F10" s="183" t="s">
        <v>137</v>
      </c>
      <c r="G10" s="187">
        <v>2.7576837807100083</v>
      </c>
      <c r="H10" s="30">
        <f>INDEX(MMULT(MINVERSE($F$122:$Q$133),$U$122:$U$133),6,1)</f>
        <v>2.7576837807100785</v>
      </c>
      <c r="I10" s="200">
        <f t="shared" si="0"/>
        <v>0</v>
      </c>
      <c r="AR10" s="159"/>
      <c r="AS10" s="158">
        <f>AS2+G135*AB21</f>
        <v>501.71428571428572</v>
      </c>
      <c r="AT10" s="158">
        <f>AT2+G136*AB21</f>
        <v>-6.8319556039946727</v>
      </c>
      <c r="AU10" s="158">
        <f>AU2+G144*AB21</f>
        <v>1003.4798983164444</v>
      </c>
      <c r="AV10" s="158">
        <f>AV2+G145*AB21</f>
        <v>103.14948635889418</v>
      </c>
      <c r="AW10" s="158">
        <f>AW2+G146*AB21</f>
        <v>1513.7862760464072</v>
      </c>
      <c r="AX10" s="158">
        <f>AX2+G147*AB21</f>
        <v>100</v>
      </c>
      <c r="AY10" s="158">
        <f>AY2+G141*AB21</f>
        <v>2003.1494863588941</v>
      </c>
      <c r="AZ10" s="158">
        <v>0</v>
      </c>
      <c r="BA10" s="158"/>
      <c r="BB10" s="158"/>
    </row>
    <row r="11" spans="1:54" ht="15.75" thickBot="1" x14ac:dyDescent="0.3">
      <c r="A11" s="183" t="s">
        <v>79</v>
      </c>
      <c r="B11" s="220">
        <v>4.3909722222222154</v>
      </c>
      <c r="C11" s="221">
        <v>1</v>
      </c>
      <c r="D11" s="222">
        <v>30</v>
      </c>
      <c r="F11" s="183" t="s">
        <v>139</v>
      </c>
      <c r="G11" s="187">
        <v>0.62989727177883459</v>
      </c>
      <c r="H11" s="30">
        <f>INDEX(MMULT(MINVERSE($F$122:$Q$133),$U$122:$U$133),7,1)</f>
        <v>0.62989727177884924</v>
      </c>
      <c r="I11" s="200">
        <f t="shared" si="0"/>
        <v>0</v>
      </c>
      <c r="AR11" s="159"/>
      <c r="AS11" s="158">
        <f>AS10</f>
        <v>501.71428571428572</v>
      </c>
      <c r="AT11" s="158">
        <f>G136*AB21</f>
        <v>-6.8319556039946727</v>
      </c>
      <c r="AU11" s="158">
        <f>AU10</f>
        <v>1003.4798983164444</v>
      </c>
      <c r="AV11" s="158">
        <f>AV10</f>
        <v>103.14948635889418</v>
      </c>
      <c r="AW11" s="158">
        <v>0</v>
      </c>
      <c r="AX11" s="158">
        <v>0</v>
      </c>
      <c r="AY11" s="158"/>
      <c r="AZ11" s="158"/>
      <c r="BA11" s="158"/>
      <c r="BB11" s="158"/>
    </row>
    <row r="12" spans="1:54" ht="15.75" thickBot="1" x14ac:dyDescent="0.3">
      <c r="A12" s="183" t="s">
        <v>80</v>
      </c>
      <c r="B12" s="220">
        <v>1</v>
      </c>
      <c r="C12" s="221">
        <v>1</v>
      </c>
      <c r="D12" s="222">
        <v>30</v>
      </c>
      <c r="F12" s="183" t="s">
        <v>140</v>
      </c>
      <c r="G12" s="187">
        <v>-1.3666292160370299</v>
      </c>
      <c r="H12" s="30">
        <f>INDEX(MMULT(MINVERSE($F$122:$Q$133),$U$122:$U$133),8,1)</f>
        <v>-1.3666292160371121</v>
      </c>
      <c r="I12" s="200">
        <f>ROUND(ABS((G12-H12)/G12),3)</f>
        <v>0</v>
      </c>
      <c r="AR12" s="159"/>
      <c r="AS12" s="158">
        <f>AS4+G137*AB21</f>
        <v>1003.4285714286963</v>
      </c>
      <c r="AT12" s="158">
        <f>G138*AB21</f>
        <v>3.4765649831110208</v>
      </c>
      <c r="AU12" s="158">
        <f>G146*AB21+AU4</f>
        <v>1513.7862760464072</v>
      </c>
      <c r="AV12" s="158">
        <f>AV4+G147*AB21</f>
        <v>100</v>
      </c>
      <c r="AW12" s="158">
        <f>AW4+G142*AB21</f>
        <v>493.16685391981486</v>
      </c>
      <c r="AX12" s="158">
        <f>AX5+G143*AB21</f>
        <v>104.86377207317989</v>
      </c>
      <c r="AY12" s="158">
        <v>-25</v>
      </c>
      <c r="AZ12" s="158">
        <v>-25</v>
      </c>
      <c r="BA12" s="158"/>
      <c r="BB12" s="158"/>
    </row>
    <row r="13" spans="1:54" ht="15.75" thickBot="1" x14ac:dyDescent="0.3">
      <c r="A13" s="183" t="s">
        <v>81</v>
      </c>
      <c r="B13" s="220">
        <v>1</v>
      </c>
      <c r="C13" s="221">
        <v>1</v>
      </c>
      <c r="D13" s="222">
        <v>30</v>
      </c>
      <c r="F13" s="183" t="s">
        <v>141</v>
      </c>
      <c r="G13" s="187">
        <v>0.97275441463597756</v>
      </c>
      <c r="H13" s="30">
        <f>INDEX(MMULT(MINVERSE($F$122:$Q$133),$U$122:$U$133),9,1)</f>
        <v>0.97275441463599188</v>
      </c>
      <c r="I13" s="200">
        <f>ROUND(ABS((G13-H13)/G13),3)</f>
        <v>0</v>
      </c>
      <c r="AR13" s="159"/>
      <c r="AS13" s="158">
        <f>AS12</f>
        <v>1003.4285714286963</v>
      </c>
      <c r="AT13" s="158">
        <f>AT12</f>
        <v>3.4765649831110208</v>
      </c>
      <c r="AU13" s="158">
        <f>AU5+G135*AB21</f>
        <v>501.71428571428572</v>
      </c>
      <c r="AV13" s="158">
        <f>AV5+G136*AB21</f>
        <v>-6.8319556039946727</v>
      </c>
      <c r="AW13" s="158">
        <f>AW4+G142*AB21</f>
        <v>493.16685391981486</v>
      </c>
      <c r="AX13" s="158">
        <f>AX12</f>
        <v>104.86377207317989</v>
      </c>
      <c r="AY13" s="158">
        <v>0</v>
      </c>
      <c r="AZ13" s="158">
        <v>0</v>
      </c>
      <c r="BA13" s="158"/>
      <c r="BB13" s="158"/>
    </row>
    <row r="14" spans="1:54" ht="15.75" thickBot="1" x14ac:dyDescent="0.3">
      <c r="A14" s="183" t="s">
        <v>82</v>
      </c>
      <c r="B14" s="220">
        <v>1</v>
      </c>
      <c r="C14" s="221">
        <v>1</v>
      </c>
      <c r="D14" s="222">
        <v>30</v>
      </c>
      <c r="F14" s="183" t="s">
        <v>142</v>
      </c>
      <c r="G14" s="187">
        <v>0.69597966328887084</v>
      </c>
      <c r="H14" s="30">
        <f>INDEX(MMULT(MINVERSE($F$122:$Q$133),$U$122:$U$133),10,1)</f>
        <v>0.69597966328885486</v>
      </c>
      <c r="I14" s="200">
        <f>ROUND(ABS((G14-H14)/G14),3)</f>
        <v>0</v>
      </c>
      <c r="AR14" s="159"/>
      <c r="AS14" s="158">
        <f>AS6+G139*AB21</f>
        <v>1501.7142857142858</v>
      </c>
      <c r="AT14" s="158">
        <f>AT6+G140*AB21</f>
        <v>13.788418903550042</v>
      </c>
      <c r="AU14" s="158">
        <f>AU6+G142*AB21</f>
        <v>493.16685391981486</v>
      </c>
      <c r="AV14" s="158">
        <f>AV6+G143*AB21</f>
        <v>104.86377207317989</v>
      </c>
      <c r="AW14" s="158">
        <f>AW6+G137*AB21</f>
        <v>1003.4285714286963</v>
      </c>
      <c r="AX14" s="158">
        <f>AX6+G138*AB21</f>
        <v>3.4765649831110208</v>
      </c>
      <c r="AY14" s="158">
        <v>25</v>
      </c>
      <c r="AZ14" s="158">
        <v>-25</v>
      </c>
      <c r="BA14" s="158"/>
      <c r="BB14" s="158"/>
    </row>
    <row r="15" spans="1:54" ht="15.75" thickBot="1" x14ac:dyDescent="0.3">
      <c r="A15" s="183" t="s">
        <v>83</v>
      </c>
      <c r="B15" s="220">
        <v>2.3983096642752764</v>
      </c>
      <c r="C15" s="221">
        <v>1</v>
      </c>
      <c r="D15" s="222">
        <v>30</v>
      </c>
      <c r="F15" s="183" t="s">
        <v>143</v>
      </c>
      <c r="G15" s="187">
        <v>0.62989727177883481</v>
      </c>
      <c r="H15" s="30">
        <f>INDEX(MMULT(MINVERSE($F$122:$Q$133),$U$122:$U$133),11,1)</f>
        <v>0.62989727177884824</v>
      </c>
      <c r="I15" s="200">
        <f>ROUND(ABS((G15-H15)/G15),3)</f>
        <v>0</v>
      </c>
      <c r="AR15" s="159"/>
      <c r="AS15" s="158">
        <f>AS14</f>
        <v>1501.7142857142858</v>
      </c>
      <c r="AT15" s="158">
        <f>AT14</f>
        <v>13.788418903550042</v>
      </c>
      <c r="AU15" s="158">
        <f>AU7+G137*AB21</f>
        <v>1003.4285714286963</v>
      </c>
      <c r="AV15" s="158">
        <f>AV7+G138*AB21</f>
        <v>3.4765649831110208</v>
      </c>
      <c r="AW15" s="158">
        <f>AW14</f>
        <v>1003.4285714286963</v>
      </c>
      <c r="AX15" s="158">
        <f>AX14</f>
        <v>3.4765649831110208</v>
      </c>
      <c r="AY15" s="158">
        <v>-25</v>
      </c>
      <c r="AZ15" s="158">
        <v>-25</v>
      </c>
      <c r="BA15" s="158"/>
      <c r="BB15" s="158"/>
    </row>
    <row r="16" spans="1:54" ht="15.75" thickBot="1" x14ac:dyDescent="0.3">
      <c r="A16" s="183" t="s">
        <v>167</v>
      </c>
      <c r="B16" s="220">
        <v>2.3381129061286918</v>
      </c>
      <c r="C16" s="221">
        <v>1</v>
      </c>
      <c r="D16" s="222">
        <v>30</v>
      </c>
      <c r="F16" s="183" t="s">
        <v>144</v>
      </c>
      <c r="G16" s="187">
        <v>2.7572552092814369</v>
      </c>
      <c r="H16" s="30">
        <f>INDEX(MMULT(MINVERSE($F$122:$Q$133),$U$122:$U$133),12,1)</f>
        <v>2.757255209281507</v>
      </c>
      <c r="I16" s="200">
        <f>ROUND(ABS((G16-H16)/G16),3)</f>
        <v>0</v>
      </c>
      <c r="AR16" s="159"/>
      <c r="AS16" s="158">
        <f>AS8+G141*AB21</f>
        <v>2003.1494863588941</v>
      </c>
      <c r="AT16" s="158">
        <v>0</v>
      </c>
      <c r="AU16" s="158">
        <f>AU8+G144*AB21</f>
        <v>1003.4798983164444</v>
      </c>
      <c r="AV16" s="158">
        <f>AV8+G145*AB21</f>
        <v>103.14948635889418</v>
      </c>
      <c r="AW16" s="158">
        <f>AW8+G146*AB21</f>
        <v>1513.7862760464072</v>
      </c>
      <c r="AX16" s="158">
        <f>AX8+G147*AB21</f>
        <v>100</v>
      </c>
      <c r="AY16" s="158"/>
      <c r="AZ16" s="158"/>
      <c r="BA16" s="158"/>
      <c r="BB16" s="158"/>
    </row>
    <row r="17" spans="1:54" ht="15.75" thickBot="1" x14ac:dyDescent="0.3">
      <c r="A17" s="183" t="s">
        <v>168</v>
      </c>
      <c r="B17" s="220">
        <v>2.2885391053020969</v>
      </c>
      <c r="C17" s="221">
        <v>1</v>
      </c>
      <c r="D17" s="222">
        <v>30</v>
      </c>
      <c r="I17" s="200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</row>
    <row r="18" spans="1:54" ht="15.75" thickBot="1" x14ac:dyDescent="0.3">
      <c r="A18" s="183" t="s">
        <v>169</v>
      </c>
      <c r="B18" s="220">
        <v>2.2000144609680174</v>
      </c>
      <c r="C18" s="221">
        <v>1</v>
      </c>
      <c r="D18" s="222">
        <v>30</v>
      </c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</row>
    <row r="19" spans="1:54" x14ac:dyDescent="0.25">
      <c r="A19" s="159"/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AR19" s="202"/>
      <c r="AS19" s="202"/>
      <c r="AT19" s="202"/>
      <c r="AU19" s="202"/>
      <c r="AV19" s="202"/>
      <c r="AW19" s="202"/>
      <c r="AX19" s="202"/>
      <c r="AY19" s="202"/>
      <c r="AZ19" s="202"/>
      <c r="BA19" s="202"/>
      <c r="BB19" s="202"/>
    </row>
    <row r="20" spans="1:54" ht="15.75" thickBot="1" x14ac:dyDescent="0.3">
      <c r="L20" s="159"/>
      <c r="M20" s="159"/>
      <c r="N20" s="159"/>
      <c r="AR20" s="202"/>
      <c r="AS20" s="203"/>
      <c r="AT20" s="203"/>
      <c r="AU20" s="203"/>
      <c r="AV20" s="203"/>
      <c r="AW20" s="203"/>
      <c r="AX20" s="203"/>
      <c r="AY20" s="203"/>
      <c r="AZ20" s="203"/>
      <c r="BA20" s="203"/>
      <c r="BB20" s="203"/>
    </row>
    <row r="21" spans="1:54" ht="15.75" thickBot="1" x14ac:dyDescent="0.3">
      <c r="D21" s="183" t="s">
        <v>1</v>
      </c>
      <c r="E21" s="221">
        <v>500</v>
      </c>
      <c r="X21" s="271" t="s">
        <v>157</v>
      </c>
      <c r="Y21" s="271"/>
      <c r="Z21" s="271"/>
      <c r="AA21" s="271"/>
      <c r="AB21" s="74">
        <v>5</v>
      </c>
      <c r="AR21" s="202"/>
      <c r="AS21" s="203"/>
      <c r="AT21" s="203"/>
      <c r="AU21" s="203"/>
      <c r="AV21" s="203"/>
      <c r="AW21" s="203"/>
      <c r="AX21" s="203"/>
      <c r="AY21" s="203"/>
      <c r="AZ21" s="203"/>
      <c r="BA21" s="203"/>
      <c r="BB21" s="203"/>
    </row>
    <row r="22" spans="1:54" ht="15.75" thickBot="1" x14ac:dyDescent="0.3">
      <c r="E22" s="159"/>
      <c r="F22" s="159"/>
      <c r="G22" s="159"/>
      <c r="H22" s="159"/>
      <c r="I22" s="159"/>
      <c r="J22" s="160"/>
      <c r="K22" s="160"/>
      <c r="L22" s="160"/>
      <c r="M22" s="160"/>
      <c r="N22" s="161"/>
      <c r="O22" s="162">
        <f>ROUND(1/N23,3)</f>
        <v>0.6</v>
      </c>
      <c r="AR22" s="202"/>
      <c r="AS22" s="203"/>
      <c r="AT22" s="203"/>
      <c r="AU22" s="203"/>
      <c r="AV22" s="203"/>
      <c r="AW22" s="203"/>
      <c r="AX22" s="203"/>
      <c r="AY22" s="203"/>
      <c r="AZ22" s="203"/>
      <c r="BA22" s="203"/>
      <c r="BB22" s="203"/>
    </row>
    <row r="23" spans="1:54" ht="12.75" customHeight="1" thickBot="1" x14ac:dyDescent="0.3">
      <c r="B23" s="252" t="s">
        <v>42</v>
      </c>
      <c r="C23" s="241" t="s">
        <v>43</v>
      </c>
      <c r="D23" s="254" t="s">
        <v>44</v>
      </c>
      <c r="E23" s="255"/>
      <c r="F23" s="254" t="s">
        <v>45</v>
      </c>
      <c r="G23" s="255"/>
      <c r="H23" s="241" t="s">
        <v>38</v>
      </c>
      <c r="I23" s="250" t="s">
        <v>46</v>
      </c>
      <c r="J23" s="241" t="s">
        <v>47</v>
      </c>
      <c r="K23" s="242" t="s">
        <v>48</v>
      </c>
      <c r="L23" s="251" t="s">
        <v>49</v>
      </c>
      <c r="M23" s="88" t="s">
        <v>50</v>
      </c>
      <c r="N23" s="87">
        <v>1.667</v>
      </c>
      <c r="O23" s="274" t="s">
        <v>51</v>
      </c>
      <c r="R23" s="161"/>
      <c r="S23" s="161"/>
      <c r="AR23" s="202"/>
      <c r="AS23" s="203"/>
      <c r="AT23" s="203"/>
      <c r="AU23" s="203"/>
      <c r="AV23" s="203"/>
      <c r="AW23" s="203"/>
      <c r="AX23" s="203"/>
      <c r="AY23" s="203"/>
      <c r="AZ23" s="203"/>
      <c r="BA23" s="203"/>
      <c r="BB23" s="203"/>
    </row>
    <row r="24" spans="1:54" ht="12.75" customHeight="1" x14ac:dyDescent="0.25">
      <c r="B24" s="253"/>
      <c r="C24" s="242"/>
      <c r="D24" s="88" t="s">
        <v>52</v>
      </c>
      <c r="E24" s="88" t="s">
        <v>53</v>
      </c>
      <c r="F24" s="88" t="s">
        <v>52</v>
      </c>
      <c r="G24" s="88" t="s">
        <v>53</v>
      </c>
      <c r="H24" s="242"/>
      <c r="I24" s="251"/>
      <c r="J24" s="242"/>
      <c r="K24" s="244"/>
      <c r="L24" s="246"/>
      <c r="M24" s="206" t="str">
        <f>O22&amp;J23</f>
        <v>0.6Fy</v>
      </c>
      <c r="N24" s="207"/>
      <c r="O24" s="248"/>
      <c r="Q24" s="78" t="s">
        <v>64</v>
      </c>
      <c r="R24" s="189" t="s">
        <v>65</v>
      </c>
      <c r="S24" s="189" t="s">
        <v>66</v>
      </c>
      <c r="T24" s="205" t="s">
        <v>67</v>
      </c>
      <c r="U24" s="81" t="s">
        <v>68</v>
      </c>
      <c r="V24" s="82" t="s">
        <v>69</v>
      </c>
      <c r="W24" s="209" t="s">
        <v>70</v>
      </c>
      <c r="AR24" s="202"/>
      <c r="AS24" s="202"/>
      <c r="AT24" s="202"/>
      <c r="AU24" s="202"/>
      <c r="AV24" s="202"/>
      <c r="AW24" s="202"/>
      <c r="AX24" s="202"/>
      <c r="AY24" s="202"/>
      <c r="AZ24" s="202"/>
      <c r="BA24" s="202"/>
      <c r="BB24" s="202"/>
    </row>
    <row r="25" spans="1:54" x14ac:dyDescent="0.25">
      <c r="B25" s="84">
        <v>1</v>
      </c>
      <c r="C25" s="46">
        <f>E21</f>
        <v>500</v>
      </c>
      <c r="D25" s="211">
        <v>0</v>
      </c>
      <c r="E25" s="211">
        <v>0</v>
      </c>
      <c r="F25" s="211">
        <f>C25</f>
        <v>500</v>
      </c>
      <c r="G25" s="211">
        <v>0</v>
      </c>
      <c r="H25" s="46">
        <f>B6</f>
        <v>3.5395833331381117</v>
      </c>
      <c r="I25" s="22">
        <v>2100000</v>
      </c>
      <c r="J25" s="21">
        <v>2400</v>
      </c>
      <c r="K25" s="211">
        <f>ROUND(O42,3)</f>
        <v>5097</v>
      </c>
      <c r="L25" s="196">
        <f>ABS(H42*M41+I42*M42+J42*M43+K42*M44)/B6</f>
        <v>1439.9999999999995</v>
      </c>
      <c r="M25" s="197">
        <f>O22*J25</f>
        <v>1440</v>
      </c>
      <c r="N25" s="212" t="str">
        <f>IF(L25&gt;M25,"over stress","")</f>
        <v/>
      </c>
      <c r="O25" s="232">
        <f>ROUND(L25/M25,2)</f>
        <v>1</v>
      </c>
      <c r="Q25" s="58">
        <v>1</v>
      </c>
      <c r="R25" s="211">
        <v>0</v>
      </c>
      <c r="S25" s="211">
        <v>0</v>
      </c>
      <c r="T25" s="59">
        <v>1</v>
      </c>
      <c r="U25" s="60">
        <v>2</v>
      </c>
      <c r="V25" s="61">
        <v>0</v>
      </c>
      <c r="W25" s="24">
        <v>0</v>
      </c>
      <c r="AR25" s="202"/>
      <c r="AS25" s="202"/>
      <c r="AT25" s="202"/>
      <c r="AU25" s="202"/>
      <c r="AV25" s="202"/>
      <c r="AW25" s="202"/>
      <c r="AX25" s="202"/>
      <c r="AY25" s="202"/>
      <c r="AZ25" s="202"/>
      <c r="BA25" s="202"/>
      <c r="BB25" s="202"/>
    </row>
    <row r="26" spans="1:54" x14ac:dyDescent="0.25">
      <c r="B26" s="84">
        <v>2</v>
      </c>
      <c r="C26" s="164">
        <f>C25</f>
        <v>500</v>
      </c>
      <c r="D26" s="211">
        <f>C26</f>
        <v>500</v>
      </c>
      <c r="E26" s="211">
        <v>0</v>
      </c>
      <c r="F26" s="211">
        <f>D26*2</f>
        <v>1000</v>
      </c>
      <c r="G26" s="211">
        <v>0</v>
      </c>
      <c r="H26" s="46">
        <f>B7</f>
        <v>3.5368055552251825</v>
      </c>
      <c r="I26" s="22">
        <v>2100000</v>
      </c>
      <c r="J26" s="21">
        <v>2400</v>
      </c>
      <c r="K26" s="211">
        <f>ROUND(O48,3)</f>
        <v>5093</v>
      </c>
      <c r="L26" s="212">
        <f>ABS(H48*M47+I48*M48+J48*M49+K48*M50)/B7</f>
        <v>1440.0000001048627</v>
      </c>
      <c r="M26" s="211">
        <f>J26*O22</f>
        <v>1440</v>
      </c>
      <c r="N26" s="212" t="str">
        <f t="shared" ref="N26:N37" si="1">IF(L26&gt;M26,"over stress","")</f>
        <v>over stress</v>
      </c>
      <c r="O26" s="232">
        <f t="shared" ref="O26:O37" si="2">ROUND(L26/M26,2)</f>
        <v>1</v>
      </c>
      <c r="Q26" s="193">
        <v>2</v>
      </c>
      <c r="R26" s="155">
        <f>D26</f>
        <v>500</v>
      </c>
      <c r="S26" s="155">
        <v>0</v>
      </c>
      <c r="T26" s="59">
        <v>3</v>
      </c>
      <c r="U26" s="60">
        <v>4</v>
      </c>
      <c r="V26" s="62">
        <f>ROUND(G135,4)</f>
        <v>0.34289999999999998</v>
      </c>
      <c r="W26" s="130">
        <f>ROUND(G136,4)</f>
        <v>-1.3664000000000001</v>
      </c>
      <c r="AR26" s="202"/>
      <c r="AS26" s="202"/>
      <c r="AT26" s="202"/>
      <c r="AU26" s="202"/>
      <c r="AV26" s="202"/>
      <c r="AW26" s="202"/>
      <c r="AX26" s="202"/>
      <c r="AY26" s="202"/>
      <c r="AZ26" s="202"/>
      <c r="BA26" s="202"/>
      <c r="BB26" s="202"/>
    </row>
    <row r="27" spans="1:54" x14ac:dyDescent="0.25">
      <c r="B27" s="84">
        <v>3</v>
      </c>
      <c r="C27" s="164">
        <f>C25</f>
        <v>500</v>
      </c>
      <c r="D27" s="211">
        <f>F26</f>
        <v>1000</v>
      </c>
      <c r="E27" s="211">
        <v>0</v>
      </c>
      <c r="F27" s="211">
        <f>D26*3</f>
        <v>1500</v>
      </c>
      <c r="G27" s="211">
        <v>0</v>
      </c>
      <c r="H27" s="46">
        <f t="shared" ref="H27:H36" si="3">B8</f>
        <v>1</v>
      </c>
      <c r="I27" s="22">
        <v>2100000</v>
      </c>
      <c r="J27" s="21">
        <v>2400</v>
      </c>
      <c r="K27" s="211">
        <f>ROUND(O54,3)</f>
        <v>-1440</v>
      </c>
      <c r="L27" s="196">
        <f>ABS(H54*M53+I54*M54+J54*M55+K54*M56)/B8</f>
        <v>1440.0000001048625</v>
      </c>
      <c r="M27" s="197">
        <f>J27*O22</f>
        <v>1440</v>
      </c>
      <c r="N27" s="212" t="str">
        <f t="shared" si="1"/>
        <v>over stress</v>
      </c>
      <c r="O27" s="232">
        <f t="shared" si="2"/>
        <v>1</v>
      </c>
      <c r="Q27" s="58">
        <v>3</v>
      </c>
      <c r="R27" s="211">
        <f>D27</f>
        <v>1000</v>
      </c>
      <c r="S27" s="211">
        <v>0</v>
      </c>
      <c r="T27" s="59">
        <v>5</v>
      </c>
      <c r="U27" s="60">
        <v>0</v>
      </c>
      <c r="V27" s="62">
        <f>ROUND(G137,4)</f>
        <v>0.68569999999999998</v>
      </c>
      <c r="W27" s="130">
        <f>ROUND(G138,4)</f>
        <v>0.69530000000000003</v>
      </c>
    </row>
    <row r="28" spans="1:54" x14ac:dyDescent="0.25">
      <c r="B28" s="84">
        <v>4</v>
      </c>
      <c r="C28" s="164">
        <f>C25</f>
        <v>500</v>
      </c>
      <c r="D28" s="211">
        <f>F27</f>
        <v>1500</v>
      </c>
      <c r="E28" s="211">
        <v>0</v>
      </c>
      <c r="F28" s="211">
        <f>D26*4</f>
        <v>2000</v>
      </c>
      <c r="G28" s="211">
        <v>0</v>
      </c>
      <c r="H28" s="46">
        <f t="shared" si="3"/>
        <v>1.0055555557507789</v>
      </c>
      <c r="I28" s="22">
        <v>2100000</v>
      </c>
      <c r="J28" s="21">
        <v>2400</v>
      </c>
      <c r="K28" s="211">
        <f>ROUND(O60,3)</f>
        <v>-1448</v>
      </c>
      <c r="L28" s="212">
        <f>ABS(H60*M59+I60*M60+J60*M61+K60*M62)/B9</f>
        <v>1440</v>
      </c>
      <c r="M28" s="211">
        <f>O22*J28</f>
        <v>1440</v>
      </c>
      <c r="N28" s="212" t="str">
        <f t="shared" si="1"/>
        <v/>
      </c>
      <c r="O28" s="232">
        <f t="shared" si="2"/>
        <v>1</v>
      </c>
      <c r="Q28" s="193">
        <v>4</v>
      </c>
      <c r="R28" s="155">
        <f>D28</f>
        <v>1500</v>
      </c>
      <c r="S28" s="155">
        <v>0</v>
      </c>
      <c r="T28" s="59">
        <v>0</v>
      </c>
      <c r="U28" s="60">
        <v>8</v>
      </c>
      <c r="V28" s="62">
        <f>ROUND(G139,4)</f>
        <v>0.34289999999999998</v>
      </c>
      <c r="W28" s="130">
        <f>ROUND(G140,4)</f>
        <v>2.7576999999999998</v>
      </c>
    </row>
    <row r="29" spans="1:54" x14ac:dyDescent="0.25">
      <c r="B29" s="84">
        <v>5</v>
      </c>
      <c r="C29" s="164">
        <f>C25</f>
        <v>500</v>
      </c>
      <c r="D29" s="211">
        <f>D26</f>
        <v>500</v>
      </c>
      <c r="E29" s="211">
        <f>C31</f>
        <v>100</v>
      </c>
      <c r="F29" s="211">
        <f>F26</f>
        <v>1000</v>
      </c>
      <c r="G29" s="211">
        <f>C31</f>
        <v>100</v>
      </c>
      <c r="H29" s="46">
        <f t="shared" si="3"/>
        <v>4.6368055555555587</v>
      </c>
      <c r="I29" s="22">
        <v>2100000</v>
      </c>
      <c r="J29" s="21">
        <v>2400</v>
      </c>
      <c r="K29" s="211">
        <f>ROUND(O66,3)</f>
        <v>6677</v>
      </c>
      <c r="L29" s="196">
        <f>ABS(H66*M65+I66*M66+J66*M67+K66*M68)/B10</f>
        <v>1440.0000000000002</v>
      </c>
      <c r="M29" s="197">
        <f>O22*J29</f>
        <v>1440</v>
      </c>
      <c r="N29" s="212" t="str">
        <f t="shared" si="1"/>
        <v/>
      </c>
      <c r="O29" s="232">
        <f t="shared" si="2"/>
        <v>1</v>
      </c>
      <c r="Q29" s="58">
        <v>5</v>
      </c>
      <c r="R29" s="211">
        <f>F28</f>
        <v>2000</v>
      </c>
      <c r="S29" s="211">
        <v>0</v>
      </c>
      <c r="T29" s="59">
        <v>9</v>
      </c>
      <c r="U29" s="60">
        <v>10</v>
      </c>
      <c r="V29" s="62">
        <f>ROUND(G141,4)</f>
        <v>0.62990000000000002</v>
      </c>
      <c r="W29" s="24">
        <v>0</v>
      </c>
    </row>
    <row r="30" spans="1:54" x14ac:dyDescent="0.25">
      <c r="B30" s="84">
        <v>6</v>
      </c>
      <c r="C30" s="164">
        <f>C25</f>
        <v>500</v>
      </c>
      <c r="D30" s="211">
        <f>D27</f>
        <v>1000</v>
      </c>
      <c r="E30" s="211">
        <f>C31</f>
        <v>100</v>
      </c>
      <c r="F30" s="211">
        <f>F27</f>
        <v>1500</v>
      </c>
      <c r="G30" s="211">
        <f>C31</f>
        <v>100</v>
      </c>
      <c r="H30" s="46">
        <f t="shared" si="3"/>
        <v>4.3909722222222154</v>
      </c>
      <c r="I30" s="22">
        <v>2100000</v>
      </c>
      <c r="J30" s="21">
        <v>2400</v>
      </c>
      <c r="K30" s="211">
        <f>ROUND(O72,3)</f>
        <v>-6323</v>
      </c>
      <c r="L30" s="212">
        <f>ABS(H72*M71+I72*M72+J72*M73+K72*M74)/B11</f>
        <v>1439.9999999999998</v>
      </c>
      <c r="M30" s="211">
        <f>O22*J30</f>
        <v>1440</v>
      </c>
      <c r="N30" s="212" t="str">
        <f t="shared" si="1"/>
        <v/>
      </c>
      <c r="O30" s="232">
        <f t="shared" si="2"/>
        <v>1</v>
      </c>
      <c r="Q30" s="193">
        <v>6</v>
      </c>
      <c r="R30" s="155">
        <f>D29</f>
        <v>500</v>
      </c>
      <c r="S30" s="155">
        <f>E29</f>
        <v>100</v>
      </c>
      <c r="T30" s="59">
        <v>11</v>
      </c>
      <c r="U30" s="60">
        <v>12</v>
      </c>
      <c r="V30" s="62">
        <f>ROUND(G142,4)</f>
        <v>-1.3666</v>
      </c>
      <c r="W30" s="130">
        <f>ROUND(G143,4)</f>
        <v>0.9728</v>
      </c>
    </row>
    <row r="31" spans="1:54" x14ac:dyDescent="0.25">
      <c r="B31" s="84">
        <v>7</v>
      </c>
      <c r="C31" s="201">
        <f>B5</f>
        <v>100</v>
      </c>
      <c r="D31" s="211">
        <f>D26</f>
        <v>500</v>
      </c>
      <c r="E31" s="211">
        <v>0</v>
      </c>
      <c r="F31" s="211">
        <f>D31</f>
        <v>500</v>
      </c>
      <c r="G31" s="211">
        <f>C31</f>
        <v>100</v>
      </c>
      <c r="H31" s="46">
        <f t="shared" si="3"/>
        <v>1</v>
      </c>
      <c r="I31" s="22">
        <v>2100000</v>
      </c>
      <c r="J31" s="21">
        <v>2400</v>
      </c>
      <c r="K31" s="211">
        <f>ROUND(O78,3)</f>
        <v>-5</v>
      </c>
      <c r="L31" s="196">
        <f>ABS(H78*M77+I78*M78+J78*M79+K78*M80)/B12</f>
        <v>5.000000000003638</v>
      </c>
      <c r="M31" s="197">
        <f>O22*J31</f>
        <v>1440</v>
      </c>
      <c r="N31" s="212" t="str">
        <f t="shared" si="1"/>
        <v/>
      </c>
      <c r="O31" s="232">
        <f t="shared" si="2"/>
        <v>0</v>
      </c>
      <c r="Q31" s="58">
        <v>7</v>
      </c>
      <c r="R31" s="211">
        <f>F29</f>
        <v>1000</v>
      </c>
      <c r="S31" s="211">
        <f>G32</f>
        <v>100</v>
      </c>
      <c r="T31" s="59">
        <v>13000</v>
      </c>
      <c r="U31" s="60">
        <v>14</v>
      </c>
      <c r="V31" s="62">
        <f>ROUND(G144,4)</f>
        <v>0.69599999999999995</v>
      </c>
      <c r="W31" s="130">
        <f>ROUND(G145,4)</f>
        <v>0.62990000000000002</v>
      </c>
    </row>
    <row r="32" spans="1:54" ht="15.75" thickBot="1" x14ac:dyDescent="0.3">
      <c r="B32" s="84">
        <v>8</v>
      </c>
      <c r="C32" s="164">
        <f>C31</f>
        <v>100</v>
      </c>
      <c r="D32" s="211">
        <f>D30</f>
        <v>1000</v>
      </c>
      <c r="E32" s="211">
        <v>0</v>
      </c>
      <c r="F32" s="211">
        <f>D32</f>
        <v>1000</v>
      </c>
      <c r="G32" s="211">
        <f>G31</f>
        <v>100</v>
      </c>
      <c r="H32" s="46">
        <f t="shared" si="3"/>
        <v>1</v>
      </c>
      <c r="I32" s="22">
        <v>2100000</v>
      </c>
      <c r="J32" s="21">
        <v>2400</v>
      </c>
      <c r="K32" s="211">
        <f>ROUND(O84,3)</f>
        <v>14</v>
      </c>
      <c r="L32" s="212">
        <f>ABS(H84*M83+I84*M84+J84*M85+K84*M86)/B13</f>
        <v>14</v>
      </c>
      <c r="M32" s="211">
        <f>O22*J32</f>
        <v>1440</v>
      </c>
      <c r="N32" s="212" t="str">
        <f t="shared" si="1"/>
        <v/>
      </c>
      <c r="O32" s="232">
        <f t="shared" si="2"/>
        <v>0.01</v>
      </c>
      <c r="Q32" s="194">
        <v>8</v>
      </c>
      <c r="R32" s="195">
        <f>F30</f>
        <v>1500</v>
      </c>
      <c r="S32" s="195">
        <f>G30</f>
        <v>100</v>
      </c>
      <c r="T32" s="65">
        <v>15</v>
      </c>
      <c r="U32" s="165">
        <v>16</v>
      </c>
      <c r="V32" s="67">
        <f>ROUND(G146,4)</f>
        <v>2.7572999999999999</v>
      </c>
      <c r="W32" s="68">
        <f>ROUND(G147,4)</f>
        <v>0</v>
      </c>
    </row>
    <row r="33" spans="1:48" ht="15.75" thickBot="1" x14ac:dyDescent="0.3">
      <c r="B33" s="84">
        <v>9</v>
      </c>
      <c r="C33" s="164">
        <f>C31</f>
        <v>100</v>
      </c>
      <c r="D33" s="211">
        <f>F30</f>
        <v>1500</v>
      </c>
      <c r="E33" s="211">
        <v>0</v>
      </c>
      <c r="F33" s="211">
        <f>D33</f>
        <v>1500</v>
      </c>
      <c r="G33" s="211">
        <f>C31</f>
        <v>100</v>
      </c>
      <c r="H33" s="46">
        <f t="shared" si="3"/>
        <v>1</v>
      </c>
      <c r="I33" s="22">
        <v>2100000</v>
      </c>
      <c r="J33" s="21">
        <v>2400</v>
      </c>
      <c r="K33" s="211">
        <f>ROUND(O90,3)</f>
        <v>-9</v>
      </c>
      <c r="L33" s="196">
        <f>ABS(H90*M89+I90*M90+J90*M91+K90*M92)/B14</f>
        <v>9.000000000007276</v>
      </c>
      <c r="M33" s="197">
        <f>O22*J33</f>
        <v>1440</v>
      </c>
      <c r="N33" s="212" t="str">
        <f t="shared" si="1"/>
        <v/>
      </c>
      <c r="O33" s="232">
        <f t="shared" si="2"/>
        <v>0.01</v>
      </c>
    </row>
    <row r="34" spans="1:48" x14ac:dyDescent="0.25">
      <c r="B34" s="84">
        <v>10</v>
      </c>
      <c r="C34" s="25">
        <f>((C25)^2+(C31)^2)^0.5</f>
        <v>509.90195135927848</v>
      </c>
      <c r="D34" s="211">
        <v>0</v>
      </c>
      <c r="E34" s="211">
        <v>0</v>
      </c>
      <c r="F34" s="211">
        <f>D26</f>
        <v>500</v>
      </c>
      <c r="G34" s="211">
        <f>C31</f>
        <v>100</v>
      </c>
      <c r="H34" s="46">
        <f t="shared" si="3"/>
        <v>2.3983096642752764</v>
      </c>
      <c r="I34" s="22">
        <v>2100000</v>
      </c>
      <c r="J34" s="21">
        <v>2400</v>
      </c>
      <c r="K34" s="211">
        <f>ROUND(O96,3)</f>
        <v>3453.5659999999998</v>
      </c>
      <c r="L34" s="212">
        <f>ABS(H96*M95+I96*M96+J96*M97+K96*M98)/B15</f>
        <v>1440</v>
      </c>
      <c r="M34" s="211">
        <f>O22*J34</f>
        <v>1440</v>
      </c>
      <c r="N34" s="212" t="str">
        <f t="shared" si="1"/>
        <v/>
      </c>
      <c r="O34" s="232">
        <f t="shared" si="2"/>
        <v>1</v>
      </c>
      <c r="Q34" s="190" t="s">
        <v>64</v>
      </c>
      <c r="R34" s="209" t="s">
        <v>158</v>
      </c>
    </row>
    <row r="35" spans="1:48" x14ac:dyDescent="0.25">
      <c r="B35" s="84">
        <v>11</v>
      </c>
      <c r="C35" s="25">
        <f>C34</f>
        <v>509.90195135927848</v>
      </c>
      <c r="D35" s="211">
        <f>F34</f>
        <v>500</v>
      </c>
      <c r="E35" s="211">
        <f>C31</f>
        <v>100</v>
      </c>
      <c r="F35" s="211">
        <f>F32</f>
        <v>1000</v>
      </c>
      <c r="G35" s="211">
        <v>0</v>
      </c>
      <c r="H35" s="46">
        <f t="shared" si="3"/>
        <v>2.3381129061286918</v>
      </c>
      <c r="I35" s="22">
        <v>2100000</v>
      </c>
      <c r="J35" s="21">
        <v>2400</v>
      </c>
      <c r="K35" s="211">
        <f>ROUND(O102,3)</f>
        <v>-3366.8829999999998</v>
      </c>
      <c r="L35" s="196">
        <f>ABS(H102*M101+I102*M102+J102*M103+K102*M104)/B16</f>
        <v>1440</v>
      </c>
      <c r="M35" s="197">
        <f>O22*J35</f>
        <v>1440</v>
      </c>
      <c r="N35" s="212" t="str">
        <f t="shared" si="1"/>
        <v/>
      </c>
      <c r="O35" s="232">
        <f t="shared" si="2"/>
        <v>1</v>
      </c>
      <c r="Q35" s="191" t="s">
        <v>159</v>
      </c>
      <c r="R35" s="24" t="e">
        <f>ROUND(K140/1000,3)</f>
        <v>#VALUE!</v>
      </c>
    </row>
    <row r="36" spans="1:48" x14ac:dyDescent="0.25">
      <c r="B36" s="84">
        <v>12</v>
      </c>
      <c r="C36" s="25">
        <f>C34</f>
        <v>509.90195135927848</v>
      </c>
      <c r="D36" s="211">
        <f>F35</f>
        <v>1000</v>
      </c>
      <c r="E36" s="211">
        <v>0</v>
      </c>
      <c r="F36" s="211">
        <f>F33</f>
        <v>1500</v>
      </c>
      <c r="G36" s="211">
        <f>C31</f>
        <v>100</v>
      </c>
      <c r="H36" s="46">
        <f t="shared" si="3"/>
        <v>2.2885391053020969</v>
      </c>
      <c r="I36" s="22">
        <v>2100000</v>
      </c>
      <c r="J36" s="21">
        <v>2400</v>
      </c>
      <c r="K36" s="211">
        <f>ROUND(O108,3)</f>
        <v>3295.4960000000001</v>
      </c>
      <c r="L36" s="212">
        <f>ABS(H108*M107+I108*M108+J108*M109+K108*M110)/B17</f>
        <v>1439.9999999999993</v>
      </c>
      <c r="M36" s="211">
        <f>O22*J36</f>
        <v>1440</v>
      </c>
      <c r="N36" s="212" t="str">
        <f t="shared" si="1"/>
        <v/>
      </c>
      <c r="O36" s="232">
        <f t="shared" si="2"/>
        <v>1</v>
      </c>
      <c r="Q36" s="191" t="s">
        <v>160</v>
      </c>
      <c r="R36" s="24" t="e">
        <f>ROUND(K141/1000,3)</f>
        <v>#VALUE!</v>
      </c>
    </row>
    <row r="37" spans="1:48" ht="15.75" thickBot="1" x14ac:dyDescent="0.3">
      <c r="B37" s="85">
        <v>13</v>
      </c>
      <c r="C37" s="69">
        <f>C36</f>
        <v>509.90195135927848</v>
      </c>
      <c r="D37" s="64">
        <f>F36</f>
        <v>1500</v>
      </c>
      <c r="E37" s="64">
        <f>C31</f>
        <v>100</v>
      </c>
      <c r="F37" s="64">
        <f>F28</f>
        <v>2000</v>
      </c>
      <c r="G37" s="64">
        <v>0</v>
      </c>
      <c r="H37" s="46">
        <v>10</v>
      </c>
      <c r="I37" s="70">
        <v>2100000</v>
      </c>
      <c r="J37" s="70">
        <v>2400</v>
      </c>
      <c r="K37" s="64">
        <f>ROUND(O114,3)</f>
        <v>-3168.0210000000002</v>
      </c>
      <c r="L37" s="198">
        <f>ABS(H114*M113+I114*M114+J114*M115+K114*M116)/B18</f>
        <v>1440.0000000005618</v>
      </c>
      <c r="M37" s="199">
        <f>O22*J37</f>
        <v>1440</v>
      </c>
      <c r="N37" s="72" t="str">
        <f t="shared" si="1"/>
        <v>over stress</v>
      </c>
      <c r="O37" s="233">
        <f t="shared" si="2"/>
        <v>1</v>
      </c>
      <c r="Q37" s="192" t="s">
        <v>161</v>
      </c>
      <c r="R37" s="73" t="e">
        <f>ROUND(K142/1000,3)</f>
        <v>#VALUE!</v>
      </c>
    </row>
    <row r="38" spans="1:48" x14ac:dyDescent="0.25">
      <c r="G38" s="166"/>
      <c r="H38" s="167"/>
    </row>
    <row r="39" spans="1:48" ht="15.75" thickBot="1" x14ac:dyDescent="0.3">
      <c r="A39" s="36">
        <v>1</v>
      </c>
      <c r="B39" s="36">
        <v>2</v>
      </c>
      <c r="C39" s="36">
        <v>3</v>
      </c>
      <c r="D39" s="36">
        <v>4</v>
      </c>
      <c r="N39" s="31"/>
      <c r="AS39" s="30">
        <f>AR41</f>
        <v>1</v>
      </c>
      <c r="AT39" s="30">
        <f>AR42</f>
        <v>2</v>
      </c>
      <c r="AU39" s="30">
        <f>AR43</f>
        <v>3</v>
      </c>
      <c r="AV39" s="30">
        <f>AR44</f>
        <v>4</v>
      </c>
    </row>
    <row r="40" spans="1:48" x14ac:dyDescent="0.25">
      <c r="A40" s="26" t="s">
        <v>54</v>
      </c>
      <c r="B40" s="27">
        <f>(F25-D25)/C25</f>
        <v>1</v>
      </c>
      <c r="C40" s="28" t="s">
        <v>55</v>
      </c>
      <c r="D40" s="27">
        <f>(G25-E25)/C25</f>
        <v>0</v>
      </c>
      <c r="E40" s="29">
        <f>(H25*I25)/(C25)</f>
        <v>14866.249999180069</v>
      </c>
      <c r="N40" s="31"/>
    </row>
    <row r="41" spans="1:48" x14ac:dyDescent="0.25">
      <c r="A41" s="32">
        <f>E40*(B40^2)</f>
        <v>14866.249999180069</v>
      </c>
      <c r="B41" s="33">
        <f>E40*D40*B40</f>
        <v>0</v>
      </c>
      <c r="C41" s="33">
        <f>-A41</f>
        <v>-14866.249999180069</v>
      </c>
      <c r="D41" s="33">
        <f>-B40*D40*E40</f>
        <v>0</v>
      </c>
      <c r="E41" s="34"/>
      <c r="F41" s="35">
        <v>1</v>
      </c>
      <c r="H41" s="36">
        <v>1</v>
      </c>
      <c r="I41" s="36">
        <v>2</v>
      </c>
      <c r="J41" s="36">
        <v>3</v>
      </c>
      <c r="K41" s="36">
        <v>4</v>
      </c>
      <c r="L41" s="34"/>
      <c r="M41" s="37">
        <v>0</v>
      </c>
      <c r="N41" s="38"/>
      <c r="AR41" s="30">
        <f>F41</f>
        <v>1</v>
      </c>
      <c r="AS41" s="30">
        <f>AR41*1000+AS39</f>
        <v>1001</v>
      </c>
      <c r="AT41" s="30">
        <f>AR41*1000+AT39</f>
        <v>1002</v>
      </c>
      <c r="AU41" s="30">
        <f>AR41*1000+AU39</f>
        <v>1003</v>
      </c>
      <c r="AV41" s="30">
        <f>AR41*1000+AV39</f>
        <v>1004</v>
      </c>
    </row>
    <row r="42" spans="1:48" ht="15.75" x14ac:dyDescent="0.25">
      <c r="A42" s="32">
        <f>E40*B40*D40</f>
        <v>0</v>
      </c>
      <c r="B42" s="33">
        <f>E40*(D40^2)</f>
        <v>0</v>
      </c>
      <c r="C42" s="33">
        <f>-B40*D40*E40</f>
        <v>0</v>
      </c>
      <c r="D42" s="33">
        <f>-(D40^2)*E40</f>
        <v>0</v>
      </c>
      <c r="E42" s="179">
        <v>1</v>
      </c>
      <c r="F42" s="35">
        <v>2</v>
      </c>
      <c r="G42" s="39" t="s">
        <v>56</v>
      </c>
      <c r="H42" s="36">
        <f>-B40*E40</f>
        <v>-14866.249999180069</v>
      </c>
      <c r="I42" s="36">
        <f>-D40*E40</f>
        <v>0</v>
      </c>
      <c r="J42" s="36">
        <f>B40*E40</f>
        <v>14866.249999180069</v>
      </c>
      <c r="K42" s="40">
        <f>D40*E40</f>
        <v>0</v>
      </c>
      <c r="L42" s="34"/>
      <c r="M42" s="37">
        <v>0</v>
      </c>
      <c r="N42" s="41" t="s">
        <v>57</v>
      </c>
      <c r="O42" s="42">
        <f>H42*M41+I42*M42+J42*M43+K42*M44</f>
        <v>5096.9999997188788</v>
      </c>
      <c r="AR42" s="30">
        <f>F42</f>
        <v>2</v>
      </c>
      <c r="AS42" s="30">
        <f>AR42*1000+AS39</f>
        <v>2001</v>
      </c>
      <c r="AT42" s="30">
        <f>AR42*1000+AT39</f>
        <v>2002</v>
      </c>
      <c r="AU42" s="30">
        <f>AR42*1000+AU39</f>
        <v>2003</v>
      </c>
      <c r="AV42" s="30">
        <f>AR42*1000+AV39</f>
        <v>2004</v>
      </c>
    </row>
    <row r="43" spans="1:48" x14ac:dyDescent="0.25">
      <c r="A43" s="32">
        <f>-(B40^2)*E40</f>
        <v>-14866.249999180069</v>
      </c>
      <c r="B43" s="33">
        <f>-B40*D40*E40</f>
        <v>0</v>
      </c>
      <c r="C43" s="33">
        <f>E40*(B40^2)</f>
        <v>14866.249999180069</v>
      </c>
      <c r="D43" s="33">
        <f>B40*D40*E40</f>
        <v>0</v>
      </c>
      <c r="E43" s="34"/>
      <c r="F43" s="35">
        <v>3</v>
      </c>
      <c r="L43" s="34"/>
      <c r="M43" s="37">
        <f>G5</f>
        <v>0.34285714285714275</v>
      </c>
      <c r="N43" s="38"/>
      <c r="O43" s="33"/>
      <c r="AR43" s="30">
        <f>F43</f>
        <v>3</v>
      </c>
      <c r="AS43" s="30">
        <f>AR43*1000+AS39</f>
        <v>3001</v>
      </c>
      <c r="AT43" s="30">
        <f>AR43*1000+AT39</f>
        <v>3002</v>
      </c>
      <c r="AU43" s="30">
        <f>AR43*1000+AU39</f>
        <v>3003</v>
      </c>
      <c r="AV43" s="30">
        <f>AR43*1000+AV39</f>
        <v>3004</v>
      </c>
    </row>
    <row r="44" spans="1:48" ht="15.75" thickBot="1" x14ac:dyDescent="0.3">
      <c r="A44" s="43">
        <f>-B40*D40*E40</f>
        <v>0</v>
      </c>
      <c r="B44" s="44">
        <f>-(D40^2)*E40</f>
        <v>0</v>
      </c>
      <c r="C44" s="44">
        <f>B40*D40*E40</f>
        <v>0</v>
      </c>
      <c r="D44" s="44">
        <f>E40*(D40^2)</f>
        <v>0</v>
      </c>
      <c r="E44" s="45"/>
      <c r="F44" s="35">
        <v>4</v>
      </c>
      <c r="L44" s="34"/>
      <c r="M44" s="37">
        <f>G6</f>
        <v>-1.3663911207989345</v>
      </c>
      <c r="N44" s="38"/>
      <c r="O44" s="33"/>
      <c r="AR44" s="30">
        <f>F44</f>
        <v>4</v>
      </c>
      <c r="AS44" s="30">
        <f>AR44*1000+AS39</f>
        <v>4001</v>
      </c>
      <c r="AT44" s="30">
        <f>AR44*1000+AT39</f>
        <v>4002</v>
      </c>
      <c r="AU44" s="30">
        <f>AR44*1000+AU39</f>
        <v>4003</v>
      </c>
      <c r="AV44" s="30">
        <f>AR44*1000+AV39</f>
        <v>4004</v>
      </c>
    </row>
    <row r="45" spans="1:48" ht="15.75" thickBot="1" x14ac:dyDescent="0.3">
      <c r="A45" s="168">
        <v>3</v>
      </c>
      <c r="B45" s="33">
        <v>4</v>
      </c>
      <c r="C45" s="33">
        <v>5</v>
      </c>
      <c r="D45" s="33">
        <v>6</v>
      </c>
      <c r="E45" s="169"/>
      <c r="F45" s="35"/>
      <c r="M45" s="170"/>
      <c r="O45" s="31"/>
      <c r="AS45" s="30">
        <f>AR47</f>
        <v>3</v>
      </c>
      <c r="AT45" s="30">
        <f>AR48</f>
        <v>4</v>
      </c>
      <c r="AU45" s="30">
        <f>AR49</f>
        <v>5</v>
      </c>
      <c r="AV45" s="30">
        <f>AR50</f>
        <v>6</v>
      </c>
    </row>
    <row r="46" spans="1:48" x14ac:dyDescent="0.25">
      <c r="A46" s="171" t="s">
        <v>54</v>
      </c>
      <c r="B46" s="166">
        <f>(F26-D26)/C26</f>
        <v>1</v>
      </c>
      <c r="C46" s="172" t="s">
        <v>55</v>
      </c>
      <c r="D46" s="166">
        <f>(G26-E26)/C26</f>
        <v>0</v>
      </c>
      <c r="E46" s="29">
        <f>(H26*I26)/(C26)</f>
        <v>14854.583331945765</v>
      </c>
      <c r="F46" s="35"/>
      <c r="M46" s="170"/>
    </row>
    <row r="47" spans="1:48" x14ac:dyDescent="0.25">
      <c r="A47" s="32">
        <f>E46*(B46^2)</f>
        <v>14854.583331945765</v>
      </c>
      <c r="B47" s="33">
        <f>E46*D46*B46</f>
        <v>0</v>
      </c>
      <c r="C47" s="33">
        <f>-A47</f>
        <v>-14854.583331945765</v>
      </c>
      <c r="D47" s="33">
        <f>-B46*D46*E46</f>
        <v>0</v>
      </c>
      <c r="E47" s="34"/>
      <c r="F47" s="35">
        <v>3</v>
      </c>
      <c r="H47" s="36">
        <v>3</v>
      </c>
      <c r="I47" s="36">
        <v>4</v>
      </c>
      <c r="J47" s="36">
        <v>5</v>
      </c>
      <c r="K47" s="36">
        <v>6</v>
      </c>
      <c r="L47" s="34"/>
      <c r="M47" s="37">
        <f>G5</f>
        <v>0.34285714285714275</v>
      </c>
      <c r="N47" s="38"/>
      <c r="AR47" s="30">
        <f>F47</f>
        <v>3</v>
      </c>
      <c r="AS47" s="30">
        <f>AR47*1000+AS45</f>
        <v>3003</v>
      </c>
      <c r="AT47" s="30">
        <f>AR47*1000+AT45</f>
        <v>3004</v>
      </c>
      <c r="AU47" s="30">
        <f>AR47*1000+AU45</f>
        <v>3005</v>
      </c>
      <c r="AV47" s="30">
        <f>AR47*1000+AV45</f>
        <v>3006</v>
      </c>
    </row>
    <row r="48" spans="1:48" ht="15.75" x14ac:dyDescent="0.25">
      <c r="A48" s="32">
        <f>E46*B46*D46</f>
        <v>0</v>
      </c>
      <c r="B48" s="33">
        <f>E46*(D46^2)</f>
        <v>0</v>
      </c>
      <c r="C48" s="33">
        <f>-B46*D46*E46</f>
        <v>0</v>
      </c>
      <c r="D48" s="33">
        <f>-(D46^2)*E46</f>
        <v>0</v>
      </c>
      <c r="E48" s="179">
        <v>2</v>
      </c>
      <c r="F48" s="35">
        <v>4</v>
      </c>
      <c r="G48" s="39" t="s">
        <v>84</v>
      </c>
      <c r="H48" s="36">
        <f>-B46*E46</f>
        <v>-14854.583331945765</v>
      </c>
      <c r="I48" s="36">
        <f>-D46*E46</f>
        <v>0</v>
      </c>
      <c r="J48" s="36">
        <f>B46*E46</f>
        <v>14854.583331945765</v>
      </c>
      <c r="K48" s="40">
        <f>D46*E46</f>
        <v>0</v>
      </c>
      <c r="L48" s="34"/>
      <c r="M48" s="37">
        <f>G6</f>
        <v>-1.3663911207989345</v>
      </c>
      <c r="N48" s="41" t="s">
        <v>57</v>
      </c>
      <c r="O48" s="42">
        <f>H48*M47+I48*M48+J48*M49+K48*M50</f>
        <v>5092.9999998951416</v>
      </c>
      <c r="AR48" s="30">
        <f>F48</f>
        <v>4</v>
      </c>
      <c r="AS48" s="30">
        <f>AR48*1000+AS45</f>
        <v>4003</v>
      </c>
      <c r="AT48" s="30">
        <f>AR48*1000+AT45</f>
        <v>4004</v>
      </c>
      <c r="AU48" s="30">
        <f>AR48*1000+AU45</f>
        <v>4005</v>
      </c>
      <c r="AV48" s="30">
        <f>AR48*1000+AV45</f>
        <v>4006</v>
      </c>
    </row>
    <row r="49" spans="1:48" x14ac:dyDescent="0.25">
      <c r="A49" s="32">
        <f>-(B46^2)*E46</f>
        <v>-14854.583331945765</v>
      </c>
      <c r="B49" s="33">
        <f>-B46*D46*E46</f>
        <v>0</v>
      </c>
      <c r="C49" s="33">
        <f>E46*(B46^2)</f>
        <v>14854.583331945765</v>
      </c>
      <c r="D49" s="33">
        <f>B46*D46*E46</f>
        <v>0</v>
      </c>
      <c r="E49" s="34"/>
      <c r="F49" s="35">
        <v>5</v>
      </c>
      <c r="L49" s="34"/>
      <c r="M49" s="37">
        <f>G7</f>
        <v>0.68571428573925297</v>
      </c>
      <c r="N49" s="38"/>
      <c r="O49" s="33"/>
      <c r="AR49" s="30">
        <f>F49</f>
        <v>5</v>
      </c>
      <c r="AS49" s="30">
        <f>AR49*1000+AS45</f>
        <v>5003</v>
      </c>
      <c r="AT49" s="30">
        <f>AR49*1000+AT45</f>
        <v>5004</v>
      </c>
      <c r="AU49" s="30">
        <f>AR49*1000+AU45</f>
        <v>5005</v>
      </c>
      <c r="AV49" s="30">
        <f>AR49*1000+AV45</f>
        <v>5006</v>
      </c>
    </row>
    <row r="50" spans="1:48" ht="15.75" thickBot="1" x14ac:dyDescent="0.3">
      <c r="A50" s="43">
        <f>-B46*D46*E46</f>
        <v>0</v>
      </c>
      <c r="B50" s="44">
        <f>-(D46^2)*E46</f>
        <v>0</v>
      </c>
      <c r="C50" s="44">
        <f>B46*D46*E46</f>
        <v>0</v>
      </c>
      <c r="D50" s="44">
        <f>E46*(D46^2)</f>
        <v>0</v>
      </c>
      <c r="E50" s="45"/>
      <c r="F50" s="35">
        <v>6</v>
      </c>
      <c r="L50" s="34"/>
      <c r="M50" s="37">
        <f>G8</f>
        <v>0.69531299662220414</v>
      </c>
      <c r="N50" s="38"/>
      <c r="O50" s="33"/>
      <c r="AR50" s="30">
        <f>F50</f>
        <v>6</v>
      </c>
      <c r="AS50" s="30">
        <f>AR50*1000+AS45</f>
        <v>6003</v>
      </c>
      <c r="AT50" s="30">
        <f>AR50*1000+AT45</f>
        <v>6004</v>
      </c>
      <c r="AU50" s="30">
        <f>AR50*1000+AU45</f>
        <v>6005</v>
      </c>
      <c r="AV50" s="30">
        <f>AR50*1000+AV45</f>
        <v>6006</v>
      </c>
    </row>
    <row r="51" spans="1:48" ht="15.75" thickBot="1" x14ac:dyDescent="0.3">
      <c r="A51" s="168">
        <v>5</v>
      </c>
      <c r="B51" s="33">
        <v>6</v>
      </c>
      <c r="C51" s="33">
        <v>7</v>
      </c>
      <c r="D51" s="33">
        <v>8</v>
      </c>
      <c r="E51" s="169"/>
      <c r="F51" s="35"/>
      <c r="M51" s="170"/>
      <c r="AS51" s="30">
        <f>AR53</f>
        <v>5</v>
      </c>
      <c r="AT51" s="30">
        <f>AR54</f>
        <v>6</v>
      </c>
      <c r="AU51" s="30">
        <f>AR55</f>
        <v>7</v>
      </c>
      <c r="AV51" s="30">
        <f>AR56</f>
        <v>8</v>
      </c>
    </row>
    <row r="52" spans="1:48" x14ac:dyDescent="0.25">
      <c r="A52" s="26" t="s">
        <v>54</v>
      </c>
      <c r="B52" s="27">
        <f>(F27-D27)/C27</f>
        <v>1</v>
      </c>
      <c r="C52" s="28" t="s">
        <v>55</v>
      </c>
      <c r="D52" s="27">
        <f>(G27-E27)/C27</f>
        <v>0</v>
      </c>
      <c r="E52" s="29">
        <f>(H27*I27)/(C27)</f>
        <v>4200</v>
      </c>
      <c r="F52" s="35"/>
      <c r="M52" s="170"/>
    </row>
    <row r="53" spans="1:48" x14ac:dyDescent="0.25">
      <c r="A53" s="32">
        <f>E52*(B52^2)</f>
        <v>4200</v>
      </c>
      <c r="B53" s="33">
        <f>E52*D52*B52</f>
        <v>0</v>
      </c>
      <c r="C53" s="33">
        <f>-A53</f>
        <v>-4200</v>
      </c>
      <c r="D53" s="33">
        <f>-B52*D52*E52</f>
        <v>0</v>
      </c>
      <c r="E53" s="34"/>
      <c r="F53" s="35">
        <v>5</v>
      </c>
      <c r="H53" s="36">
        <v>5</v>
      </c>
      <c r="I53" s="36">
        <v>6</v>
      </c>
      <c r="J53" s="36">
        <v>7</v>
      </c>
      <c r="K53" s="36">
        <v>8</v>
      </c>
      <c r="L53" s="34"/>
      <c r="M53" s="37">
        <f>G7</f>
        <v>0.68571428573925297</v>
      </c>
      <c r="N53" s="38"/>
      <c r="AR53" s="30">
        <f>F53</f>
        <v>5</v>
      </c>
      <c r="AS53" s="30">
        <f>AR53*1000+AS51</f>
        <v>5005</v>
      </c>
      <c r="AT53" s="30">
        <f>AR53*1000+AT51</f>
        <v>5006</v>
      </c>
      <c r="AU53" s="30">
        <f>AR53*1000+AU51</f>
        <v>5007</v>
      </c>
      <c r="AV53" s="30">
        <f>AR53*1000+AV51</f>
        <v>5008</v>
      </c>
    </row>
    <row r="54" spans="1:48" ht="15.75" x14ac:dyDescent="0.25">
      <c r="A54" s="32">
        <f>E52*B52*D52</f>
        <v>0</v>
      </c>
      <c r="B54" s="33">
        <f>E52*(D52^2)</f>
        <v>0</v>
      </c>
      <c r="C54" s="33">
        <f>-B52*D52*E52</f>
        <v>0</v>
      </c>
      <c r="D54" s="33">
        <f>-(D52^2)*E52</f>
        <v>0</v>
      </c>
      <c r="E54" s="179">
        <v>3</v>
      </c>
      <c r="F54" s="35">
        <v>6</v>
      </c>
      <c r="G54" s="39" t="s">
        <v>85</v>
      </c>
      <c r="H54" s="36">
        <f>-B52*E52</f>
        <v>-4200</v>
      </c>
      <c r="I54" s="36">
        <f>-D52*E52</f>
        <v>0</v>
      </c>
      <c r="J54" s="36">
        <f>B52*E52</f>
        <v>4200</v>
      </c>
      <c r="K54" s="40">
        <f>D52*E52</f>
        <v>0</v>
      </c>
      <c r="L54" s="34"/>
      <c r="M54" s="37">
        <f>G8</f>
        <v>0.69531299662220414</v>
      </c>
      <c r="N54" s="41" t="s">
        <v>57</v>
      </c>
      <c r="O54" s="42">
        <f>H54*M53+I54*M54+J54*M55+K54*M56</f>
        <v>-1440.0000001048625</v>
      </c>
      <c r="AR54" s="30">
        <f>F54</f>
        <v>6</v>
      </c>
      <c r="AS54" s="30">
        <f>AR54*1000+AS51</f>
        <v>6005</v>
      </c>
      <c r="AT54" s="30">
        <f>AR54*1000+AT51</f>
        <v>6006</v>
      </c>
      <c r="AU54" s="30">
        <f>AR54*1000+AU51</f>
        <v>6007</v>
      </c>
      <c r="AV54" s="30">
        <f>AR54*1000+AV51</f>
        <v>6008</v>
      </c>
    </row>
    <row r="55" spans="1:48" x14ac:dyDescent="0.25">
      <c r="A55" s="32">
        <f>-(B52^2)*E52</f>
        <v>-4200</v>
      </c>
      <c r="B55" s="33">
        <f>-B52*D52*E52</f>
        <v>0</v>
      </c>
      <c r="C55" s="33">
        <f>E52*(B52^2)</f>
        <v>4200</v>
      </c>
      <c r="D55" s="33">
        <f>B52*D52*E52</f>
        <v>0</v>
      </c>
      <c r="E55" s="34"/>
      <c r="F55" s="35">
        <v>7</v>
      </c>
      <c r="L55" s="34"/>
      <c r="M55" s="37">
        <f>G9</f>
        <v>0.34285714285714286</v>
      </c>
      <c r="N55" s="38"/>
      <c r="O55" s="33"/>
      <c r="AR55" s="30">
        <f>F55</f>
        <v>7</v>
      </c>
      <c r="AS55" s="30">
        <f>AR55*1000+AS51</f>
        <v>7005</v>
      </c>
      <c r="AT55" s="30">
        <f>AR55*1000+AT51</f>
        <v>7006</v>
      </c>
      <c r="AU55" s="30">
        <f>AR55*1000+AU51</f>
        <v>7007</v>
      </c>
      <c r="AV55" s="30">
        <f>AR55*1000+AV51</f>
        <v>7008</v>
      </c>
    </row>
    <row r="56" spans="1:48" ht="15.75" thickBot="1" x14ac:dyDescent="0.3">
      <c r="A56" s="43">
        <f>-B52*D52*E52</f>
        <v>0</v>
      </c>
      <c r="B56" s="44">
        <f>-(D52^2)*E52</f>
        <v>0</v>
      </c>
      <c r="C56" s="44">
        <f>B52*D52*E52</f>
        <v>0</v>
      </c>
      <c r="D56" s="44">
        <f>E52*(D52^2)</f>
        <v>0</v>
      </c>
      <c r="E56" s="45"/>
      <c r="F56" s="35">
        <v>8</v>
      </c>
      <c r="L56" s="34"/>
      <c r="M56" s="37">
        <f>G10</f>
        <v>2.7576837807100083</v>
      </c>
      <c r="N56" s="38"/>
      <c r="O56" s="33"/>
      <c r="AR56" s="30">
        <f>F56</f>
        <v>8</v>
      </c>
      <c r="AS56" s="30">
        <f>AR56*1000+AS51</f>
        <v>8005</v>
      </c>
      <c r="AT56" s="30">
        <f>AR56*1000+AT51</f>
        <v>8006</v>
      </c>
      <c r="AU56" s="30">
        <f>AR56*1000+AU51</f>
        <v>8007</v>
      </c>
      <c r="AV56" s="30">
        <f>AR56*1000+AV51</f>
        <v>8008</v>
      </c>
    </row>
    <row r="57" spans="1:48" ht="15.75" thickBot="1" x14ac:dyDescent="0.3">
      <c r="A57" s="168">
        <v>7</v>
      </c>
      <c r="B57" s="33">
        <v>8</v>
      </c>
      <c r="C57" s="33">
        <v>9</v>
      </c>
      <c r="D57" s="33">
        <v>10</v>
      </c>
      <c r="E57" s="169"/>
      <c r="F57" s="35"/>
      <c r="M57" s="170"/>
      <c r="AS57" s="30">
        <f>AR59</f>
        <v>7</v>
      </c>
      <c r="AT57" s="30">
        <f>AR60</f>
        <v>8</v>
      </c>
      <c r="AU57" s="30">
        <f>AR61</f>
        <v>9</v>
      </c>
      <c r="AV57" s="30">
        <f>AR62</f>
        <v>10</v>
      </c>
    </row>
    <row r="58" spans="1:48" x14ac:dyDescent="0.25">
      <c r="A58" s="171" t="s">
        <v>54</v>
      </c>
      <c r="B58" s="166">
        <f>(F28-D28)/C28</f>
        <v>1</v>
      </c>
      <c r="C58" s="172" t="s">
        <v>55</v>
      </c>
      <c r="D58" s="166">
        <f>(G28-E28)/C28</f>
        <v>0</v>
      </c>
      <c r="E58" s="29">
        <f>(H28*I28)/(C28)</f>
        <v>4223.3333341532716</v>
      </c>
      <c r="F58" s="35"/>
      <c r="M58" s="170"/>
    </row>
    <row r="59" spans="1:48" x14ac:dyDescent="0.25">
      <c r="A59" s="32">
        <f>E58*(B58^2)</f>
        <v>4223.3333341532716</v>
      </c>
      <c r="B59" s="33">
        <f>E58*D58*B58</f>
        <v>0</v>
      </c>
      <c r="C59" s="33">
        <f>-A59</f>
        <v>-4223.3333341532716</v>
      </c>
      <c r="D59" s="33">
        <f>-B58*D58*E58</f>
        <v>0</v>
      </c>
      <c r="E59" s="34"/>
      <c r="F59" s="35">
        <v>7</v>
      </c>
      <c r="H59" s="36">
        <v>7</v>
      </c>
      <c r="I59" s="36">
        <v>8</v>
      </c>
      <c r="J59" s="36">
        <v>9</v>
      </c>
      <c r="K59" s="36">
        <v>10</v>
      </c>
      <c r="L59" s="34"/>
      <c r="M59" s="37">
        <f>G9</f>
        <v>0.34285714285714286</v>
      </c>
      <c r="N59" s="38"/>
      <c r="O59" s="33"/>
      <c r="AR59" s="30">
        <f>F59</f>
        <v>7</v>
      </c>
      <c r="AS59" s="30">
        <f>AR59*1000+AS57</f>
        <v>7007</v>
      </c>
      <c r="AT59" s="30">
        <f>AR59*1000+AT57</f>
        <v>7008</v>
      </c>
      <c r="AU59" s="30">
        <f>AR59*1000+AU57</f>
        <v>7009</v>
      </c>
      <c r="AV59" s="30">
        <f>AR59*1000+AV57</f>
        <v>7010</v>
      </c>
    </row>
    <row r="60" spans="1:48" ht="15.75" x14ac:dyDescent="0.25">
      <c r="A60" s="32">
        <f>E58*B58*D58</f>
        <v>0</v>
      </c>
      <c r="B60" s="33">
        <f>E58*(D58^2)</f>
        <v>0</v>
      </c>
      <c r="C60" s="33">
        <f>-B58*D58*E58</f>
        <v>0</v>
      </c>
      <c r="D60" s="33">
        <f>-(D58^2)*E58</f>
        <v>0</v>
      </c>
      <c r="E60" s="179">
        <v>4</v>
      </c>
      <c r="F60" s="35">
        <v>8</v>
      </c>
      <c r="G60" s="39" t="s">
        <v>87</v>
      </c>
      <c r="H60" s="36">
        <f>-B58*E58</f>
        <v>-4223.3333341532716</v>
      </c>
      <c r="I60" s="36">
        <f>-D58*E58</f>
        <v>0</v>
      </c>
      <c r="J60" s="36">
        <f>B58*E58</f>
        <v>4223.3333341532716</v>
      </c>
      <c r="K60" s="40">
        <f>D58*E58</f>
        <v>0</v>
      </c>
      <c r="L60" s="34"/>
      <c r="M60" s="37">
        <f>G10</f>
        <v>2.7576837807100083</v>
      </c>
      <c r="N60" s="41" t="s">
        <v>57</v>
      </c>
      <c r="O60" s="42">
        <f>H60*M59+I60*M60+J60*M61+K60*M62</f>
        <v>-1448.0000002811216</v>
      </c>
      <c r="AR60" s="30">
        <f>F60</f>
        <v>8</v>
      </c>
      <c r="AS60" s="30">
        <f>AR60*1000+AS57</f>
        <v>8007</v>
      </c>
      <c r="AT60" s="30">
        <f>AR60*1000+AT57</f>
        <v>8008</v>
      </c>
      <c r="AU60" s="30">
        <f>AR60*1000+AU57</f>
        <v>8009</v>
      </c>
      <c r="AV60" s="30">
        <f>AR60*1000+AV57</f>
        <v>8010</v>
      </c>
    </row>
    <row r="61" spans="1:48" x14ac:dyDescent="0.25">
      <c r="A61" s="32">
        <f>-(B58^2)*E58</f>
        <v>-4223.3333341532716</v>
      </c>
      <c r="B61" s="33">
        <f>-B58*D58*E58</f>
        <v>0</v>
      </c>
      <c r="C61" s="33">
        <f>E58*(B58^2)</f>
        <v>4223.3333341532716</v>
      </c>
      <c r="D61" s="33">
        <f>B58*D58*E58</f>
        <v>0</v>
      </c>
      <c r="E61" s="34"/>
      <c r="F61" s="35">
        <v>9</v>
      </c>
      <c r="L61" s="34"/>
      <c r="M61" s="37">
        <v>0</v>
      </c>
      <c r="N61" s="38"/>
      <c r="O61" s="33"/>
      <c r="AR61" s="30">
        <f>F61</f>
        <v>9</v>
      </c>
      <c r="AS61" s="30">
        <f>AR61*1000+AS57</f>
        <v>9007</v>
      </c>
      <c r="AT61" s="30">
        <f>AR61*1000+AT57</f>
        <v>9008</v>
      </c>
      <c r="AU61" s="30">
        <f>AR61*1000+AU57</f>
        <v>9009</v>
      </c>
      <c r="AV61" s="30">
        <f>AR61*1000+AV57</f>
        <v>9010</v>
      </c>
    </row>
    <row r="62" spans="1:48" ht="15.75" thickBot="1" x14ac:dyDescent="0.3">
      <c r="A62" s="43">
        <f>-B58*D58*E58</f>
        <v>0</v>
      </c>
      <c r="B62" s="44">
        <f>-(D58^2)*E58</f>
        <v>0</v>
      </c>
      <c r="C62" s="44">
        <f>B58*D58*E58</f>
        <v>0</v>
      </c>
      <c r="D62" s="44">
        <f>E58*(D58^2)</f>
        <v>0</v>
      </c>
      <c r="E62" s="45"/>
      <c r="F62" s="35">
        <v>10</v>
      </c>
      <c r="L62" s="34"/>
      <c r="M62" s="37">
        <v>0</v>
      </c>
      <c r="N62" s="38"/>
      <c r="O62" s="33"/>
      <c r="AR62" s="30">
        <f>F62</f>
        <v>10</v>
      </c>
      <c r="AS62" s="30">
        <f>AR62*1000+AS57</f>
        <v>10007</v>
      </c>
      <c r="AT62" s="30">
        <f>AR62*1000+AT57</f>
        <v>10008</v>
      </c>
      <c r="AU62" s="30">
        <f>AR62*1000+AU57</f>
        <v>10009</v>
      </c>
      <c r="AV62" s="30">
        <f>AR62*1000+AV57</f>
        <v>10010</v>
      </c>
    </row>
    <row r="63" spans="1:48" ht="15.75" thickBot="1" x14ac:dyDescent="0.3">
      <c r="A63" s="168">
        <v>11</v>
      </c>
      <c r="B63" s="33">
        <v>12</v>
      </c>
      <c r="C63" s="33">
        <v>13</v>
      </c>
      <c r="D63" s="33">
        <v>14</v>
      </c>
      <c r="E63" s="169"/>
      <c r="F63" s="35"/>
      <c r="M63" s="170"/>
      <c r="O63" s="31"/>
      <c r="AS63" s="30">
        <f>AR65</f>
        <v>11</v>
      </c>
      <c r="AT63" s="30">
        <f>AR66</f>
        <v>12</v>
      </c>
      <c r="AU63" s="30">
        <f>AR67</f>
        <v>13</v>
      </c>
      <c r="AV63" s="30">
        <f>AR68</f>
        <v>14</v>
      </c>
    </row>
    <row r="64" spans="1:48" x14ac:dyDescent="0.25">
      <c r="A64" s="26" t="s">
        <v>54</v>
      </c>
      <c r="B64" s="27">
        <f>(F29-D29)/C29</f>
        <v>1</v>
      </c>
      <c r="C64" s="28" t="s">
        <v>55</v>
      </c>
      <c r="D64" s="27">
        <f>(G29-E29)/C29</f>
        <v>0</v>
      </c>
      <c r="E64" s="29">
        <f>(H29*I29)/(C29)</f>
        <v>19474.583333333347</v>
      </c>
      <c r="F64" s="35"/>
      <c r="M64" s="170"/>
    </row>
    <row r="65" spans="1:48" x14ac:dyDescent="0.25">
      <c r="A65" s="32">
        <f>E64*(B64^2)</f>
        <v>19474.583333333347</v>
      </c>
      <c r="B65" s="33">
        <f>E64*D64*B64</f>
        <v>0</v>
      </c>
      <c r="C65" s="33">
        <f>-A65</f>
        <v>-19474.583333333347</v>
      </c>
      <c r="D65" s="33">
        <f>-B64*D64*E64</f>
        <v>0</v>
      </c>
      <c r="E65" s="34"/>
      <c r="F65" s="35">
        <v>11</v>
      </c>
      <c r="H65" s="36">
        <v>11</v>
      </c>
      <c r="I65" s="36">
        <v>12</v>
      </c>
      <c r="J65" s="36">
        <v>13</v>
      </c>
      <c r="K65" s="36">
        <v>14</v>
      </c>
      <c r="L65" s="34"/>
      <c r="M65" s="37">
        <f>G11</f>
        <v>0.62989727177883459</v>
      </c>
      <c r="N65" s="38"/>
      <c r="AR65" s="30">
        <f>F65</f>
        <v>11</v>
      </c>
      <c r="AS65" s="30">
        <f>AR65*1000+AS63</f>
        <v>11011</v>
      </c>
      <c r="AT65" s="30">
        <f>AR65*1000+AT63</f>
        <v>11012</v>
      </c>
      <c r="AU65" s="30">
        <f>AR65*1000+AU63</f>
        <v>11013</v>
      </c>
      <c r="AV65" s="30">
        <f>AR65*1000+AV63</f>
        <v>11014</v>
      </c>
    </row>
    <row r="66" spans="1:48" ht="15.75" x14ac:dyDescent="0.25">
      <c r="A66" s="32">
        <f>E64*B64*D64</f>
        <v>0</v>
      </c>
      <c r="B66" s="33">
        <f>E64*(D64^2)</f>
        <v>0</v>
      </c>
      <c r="C66" s="33">
        <f>-B64*D64*E64</f>
        <v>0</v>
      </c>
      <c r="D66" s="33">
        <f>-(D64^2)*E64</f>
        <v>0</v>
      </c>
      <c r="E66" s="179">
        <v>5</v>
      </c>
      <c r="F66" s="35">
        <v>12</v>
      </c>
      <c r="G66" s="39" t="s">
        <v>86</v>
      </c>
      <c r="H66" s="36">
        <f>-B64*E64</f>
        <v>-19474.583333333347</v>
      </c>
      <c r="I66" s="36">
        <f>-D64*E64</f>
        <v>0</v>
      </c>
      <c r="J66" s="36">
        <f>B64*E64</f>
        <v>19474.583333333347</v>
      </c>
      <c r="K66" s="40">
        <f>D64*E64</f>
        <v>0</v>
      </c>
      <c r="L66" s="34"/>
      <c r="M66" s="37">
        <f>G12</f>
        <v>-1.3666292160370299</v>
      </c>
      <c r="N66" s="41" t="s">
        <v>57</v>
      </c>
      <c r="O66" s="42">
        <f>H66*M65+I66*M66+J66*M67+K66*M68</f>
        <v>6677.0000000000055</v>
      </c>
      <c r="AR66" s="30">
        <f>F66</f>
        <v>12</v>
      </c>
      <c r="AS66" s="30">
        <f>AR66*1000+AS63</f>
        <v>12011</v>
      </c>
      <c r="AT66" s="30">
        <f>AR66*1000+AT63</f>
        <v>12012</v>
      </c>
      <c r="AU66" s="30">
        <f>AR66*1000+AU63</f>
        <v>12013</v>
      </c>
      <c r="AV66" s="30">
        <f>AR66*1000+AV63</f>
        <v>12014</v>
      </c>
    </row>
    <row r="67" spans="1:48" x14ac:dyDescent="0.25">
      <c r="A67" s="32">
        <f>-(B64^2)*E64</f>
        <v>-19474.583333333347</v>
      </c>
      <c r="B67" s="33">
        <f>-B64*D64*E64</f>
        <v>0</v>
      </c>
      <c r="C67" s="33">
        <f>E64*(B64^2)</f>
        <v>19474.583333333347</v>
      </c>
      <c r="D67" s="33">
        <f>B64*D64*E64</f>
        <v>0</v>
      </c>
      <c r="E67" s="34"/>
      <c r="F67" s="35">
        <v>13</v>
      </c>
      <c r="L67" s="34"/>
      <c r="M67" s="37">
        <f>G13</f>
        <v>0.97275441463597756</v>
      </c>
      <c r="N67" s="38"/>
      <c r="O67" s="33"/>
      <c r="AR67" s="30">
        <f>F67</f>
        <v>13</v>
      </c>
      <c r="AS67" s="30">
        <f>AR67*1000+AS63</f>
        <v>13011</v>
      </c>
      <c r="AT67" s="30">
        <f>AR67*1000+AT63</f>
        <v>13012</v>
      </c>
      <c r="AU67" s="30">
        <f>AR67*1000+AU63</f>
        <v>13013</v>
      </c>
      <c r="AV67" s="30">
        <f>AR67*1000+AV63</f>
        <v>13014</v>
      </c>
    </row>
    <row r="68" spans="1:48" ht="15.75" thickBot="1" x14ac:dyDescent="0.3">
      <c r="A68" s="43">
        <f>-B64*D64*E64</f>
        <v>0</v>
      </c>
      <c r="B68" s="44">
        <f>-(D64^2)*E64</f>
        <v>0</v>
      </c>
      <c r="C68" s="44">
        <f>B64*D64*E64</f>
        <v>0</v>
      </c>
      <c r="D68" s="44">
        <f>E64*(D64^2)</f>
        <v>0</v>
      </c>
      <c r="E68" s="45"/>
      <c r="F68" s="35">
        <v>14</v>
      </c>
      <c r="L68" s="34"/>
      <c r="M68" s="37">
        <f>G14</f>
        <v>0.69597966328887084</v>
      </c>
      <c r="N68" s="38"/>
      <c r="O68" s="33"/>
      <c r="AR68" s="30">
        <f>F68</f>
        <v>14</v>
      </c>
      <c r="AS68" s="30">
        <f>AR68*1000+AS63</f>
        <v>14011</v>
      </c>
      <c r="AT68" s="30">
        <f>AR68*1000+AT63</f>
        <v>14012</v>
      </c>
      <c r="AU68" s="30">
        <f>AR68*1000+AU63</f>
        <v>14013</v>
      </c>
      <c r="AV68" s="30">
        <f>AR68*1000+AV63</f>
        <v>14014</v>
      </c>
    </row>
    <row r="69" spans="1:48" ht="15.75" thickBot="1" x14ac:dyDescent="0.3">
      <c r="A69" s="168">
        <v>13</v>
      </c>
      <c r="B69" s="33">
        <v>14</v>
      </c>
      <c r="C69" s="33">
        <v>15</v>
      </c>
      <c r="D69" s="33">
        <v>16</v>
      </c>
      <c r="E69" s="169"/>
      <c r="F69" s="35"/>
      <c r="M69" s="170"/>
      <c r="AS69" s="30">
        <f>AR71</f>
        <v>13</v>
      </c>
      <c r="AT69" s="30">
        <f>AR72</f>
        <v>14</v>
      </c>
      <c r="AU69" s="30">
        <f>AR73</f>
        <v>15</v>
      </c>
      <c r="AV69" s="30">
        <f>AR74</f>
        <v>16</v>
      </c>
    </row>
    <row r="70" spans="1:48" x14ac:dyDescent="0.25">
      <c r="A70" s="26" t="s">
        <v>54</v>
      </c>
      <c r="B70" s="27">
        <f>(F30-D30)/C30</f>
        <v>1</v>
      </c>
      <c r="C70" s="28" t="s">
        <v>55</v>
      </c>
      <c r="D70" s="27">
        <f>(G30-E30)/C30</f>
        <v>0</v>
      </c>
      <c r="E70" s="29">
        <f>(H30*I30)/(C30)</f>
        <v>18442.083333333307</v>
      </c>
      <c r="F70" s="35"/>
      <c r="M70" s="170"/>
    </row>
    <row r="71" spans="1:48" x14ac:dyDescent="0.25">
      <c r="A71" s="32">
        <f>E70*(B70^2)</f>
        <v>18442.083333333307</v>
      </c>
      <c r="B71" s="33">
        <f>E70*D70*B70</f>
        <v>0</v>
      </c>
      <c r="C71" s="33">
        <f>-A71</f>
        <v>-18442.083333333307</v>
      </c>
      <c r="D71" s="33">
        <f>-B70*D70*E70</f>
        <v>0</v>
      </c>
      <c r="E71" s="34"/>
      <c r="F71" s="35">
        <v>13</v>
      </c>
      <c r="H71" s="36">
        <v>13</v>
      </c>
      <c r="I71" s="36">
        <v>14</v>
      </c>
      <c r="J71" s="36">
        <v>15</v>
      </c>
      <c r="K71" s="36">
        <v>16</v>
      </c>
      <c r="L71" s="34"/>
      <c r="M71" s="37">
        <f>G13</f>
        <v>0.97275441463597756</v>
      </c>
      <c r="N71" s="38"/>
      <c r="AR71" s="30">
        <f>F71</f>
        <v>13</v>
      </c>
      <c r="AS71" s="30">
        <f>AR71*1000+AS69</f>
        <v>13013</v>
      </c>
      <c r="AT71" s="30">
        <f>AR71*1000+AT69</f>
        <v>13014</v>
      </c>
      <c r="AU71" s="30">
        <f>AR71*1000+AU69</f>
        <v>13015</v>
      </c>
      <c r="AV71" s="30">
        <f>AR71*1000+AV69</f>
        <v>13016</v>
      </c>
    </row>
    <row r="72" spans="1:48" ht="15.75" x14ac:dyDescent="0.25">
      <c r="A72" s="32">
        <f>E70*B70*D70</f>
        <v>0</v>
      </c>
      <c r="B72" s="33">
        <f>E70*(D70^2)</f>
        <v>0</v>
      </c>
      <c r="C72" s="33">
        <f>-B70*D70*E70</f>
        <v>0</v>
      </c>
      <c r="D72" s="33">
        <f>-(D70^2)*E70</f>
        <v>0</v>
      </c>
      <c r="E72" s="179">
        <v>6</v>
      </c>
      <c r="F72" s="35">
        <v>14</v>
      </c>
      <c r="G72" s="39" t="s">
        <v>88</v>
      </c>
      <c r="H72" s="36">
        <f>-B70*E70</f>
        <v>-18442.083333333307</v>
      </c>
      <c r="I72" s="36">
        <f>-D70*E70</f>
        <v>0</v>
      </c>
      <c r="J72" s="36">
        <f>B70*E70</f>
        <v>18442.083333333307</v>
      </c>
      <c r="K72" s="40">
        <f>D70*E70</f>
        <v>0</v>
      </c>
      <c r="L72" s="34"/>
      <c r="M72" s="37">
        <f>G14</f>
        <v>0.69597966328887084</v>
      </c>
      <c r="N72" s="41" t="s">
        <v>57</v>
      </c>
      <c r="O72" s="42">
        <f>H72*M71+I72*M72+J72*M73+K72*M74</f>
        <v>-6322.9999999999891</v>
      </c>
      <c r="AR72" s="30">
        <f>F72</f>
        <v>14</v>
      </c>
      <c r="AS72" s="30">
        <f>AR72*1000+AS69</f>
        <v>14013</v>
      </c>
      <c r="AT72" s="30">
        <f>AR72*1000+AT69</f>
        <v>14014</v>
      </c>
      <c r="AU72" s="30">
        <f>AR72*1000+AU69</f>
        <v>14015</v>
      </c>
      <c r="AV72" s="30">
        <f>AR72*1000+AV69</f>
        <v>14016</v>
      </c>
    </row>
    <row r="73" spans="1:48" x14ac:dyDescent="0.25">
      <c r="A73" s="32">
        <f>-(B70^2)*E70</f>
        <v>-18442.083333333307</v>
      </c>
      <c r="B73" s="33">
        <f>-B70*D70*E70</f>
        <v>0</v>
      </c>
      <c r="C73" s="33">
        <f>E70*(B70^2)</f>
        <v>18442.083333333307</v>
      </c>
      <c r="D73" s="33">
        <f>B70*D70*E70</f>
        <v>0</v>
      </c>
      <c r="E73" s="34"/>
      <c r="F73" s="35">
        <v>15</v>
      </c>
      <c r="L73" s="34"/>
      <c r="M73" s="37">
        <f>G15</f>
        <v>0.62989727177883481</v>
      </c>
      <c r="N73" s="38"/>
      <c r="O73" s="33"/>
      <c r="AR73" s="30">
        <f>F73</f>
        <v>15</v>
      </c>
      <c r="AS73" s="30">
        <f>AR73*1000+AS69</f>
        <v>15013</v>
      </c>
      <c r="AT73" s="30">
        <f>AR73*1000+AT69</f>
        <v>15014</v>
      </c>
      <c r="AU73" s="30">
        <f>AR73*1000+AU69</f>
        <v>15015</v>
      </c>
      <c r="AV73" s="30">
        <f>AR73*1000+AV69</f>
        <v>15016</v>
      </c>
    </row>
    <row r="74" spans="1:48" ht="15.75" thickBot="1" x14ac:dyDescent="0.3">
      <c r="A74" s="43">
        <f>-B70*D70*E70</f>
        <v>0</v>
      </c>
      <c r="B74" s="44">
        <f>-(D70^2)*E70</f>
        <v>0</v>
      </c>
      <c r="C74" s="44">
        <f>B70*D70*E70</f>
        <v>0</v>
      </c>
      <c r="D74" s="44">
        <f>E70*(D70^2)</f>
        <v>0</v>
      </c>
      <c r="E74" s="45"/>
      <c r="F74" s="35">
        <v>16</v>
      </c>
      <c r="L74" s="34"/>
      <c r="M74" s="37">
        <f>G16</f>
        <v>2.7572552092814369</v>
      </c>
      <c r="N74" s="38"/>
      <c r="O74" s="33"/>
      <c r="AR74" s="30">
        <f>F74</f>
        <v>16</v>
      </c>
      <c r="AS74" s="30">
        <f>AR74*1000+AS69</f>
        <v>16013</v>
      </c>
      <c r="AT74" s="30">
        <f>AR74*1000+AT69</f>
        <v>16014</v>
      </c>
      <c r="AU74" s="30">
        <f>AR74*1000+AU69</f>
        <v>16015</v>
      </c>
      <c r="AV74" s="30">
        <f>AR74*1000+AV69</f>
        <v>16016</v>
      </c>
    </row>
    <row r="75" spans="1:48" ht="15.75" thickBot="1" x14ac:dyDescent="0.3">
      <c r="A75" s="168">
        <v>3</v>
      </c>
      <c r="B75" s="33">
        <v>4</v>
      </c>
      <c r="C75" s="33">
        <v>11</v>
      </c>
      <c r="D75" s="33">
        <v>12</v>
      </c>
      <c r="E75" s="31"/>
      <c r="F75" s="173"/>
      <c r="M75" s="170"/>
      <c r="AS75" s="30">
        <f>AR77</f>
        <v>3</v>
      </c>
      <c r="AT75" s="30">
        <f>AR78</f>
        <v>4</v>
      </c>
      <c r="AU75" s="30">
        <f>AR79</f>
        <v>11</v>
      </c>
      <c r="AV75" s="30">
        <f>AR80</f>
        <v>12</v>
      </c>
    </row>
    <row r="76" spans="1:48" x14ac:dyDescent="0.25">
      <c r="A76" s="26" t="s">
        <v>54</v>
      </c>
      <c r="B76" s="27">
        <f>(F31-D31)/C31</f>
        <v>0</v>
      </c>
      <c r="C76" s="28" t="s">
        <v>55</v>
      </c>
      <c r="D76" s="27">
        <f>(G31-E31)/C31</f>
        <v>1</v>
      </c>
      <c r="E76" s="29">
        <f>(H31*I31)/(C31)</f>
        <v>21000</v>
      </c>
      <c r="F76" s="35"/>
      <c r="M76" s="170"/>
    </row>
    <row r="77" spans="1:48" x14ac:dyDescent="0.25">
      <c r="A77" s="32">
        <f>E76*(B76^2)</f>
        <v>0</v>
      </c>
      <c r="B77" s="33">
        <f>E76*D76*B76</f>
        <v>0</v>
      </c>
      <c r="C77" s="33">
        <f>-A77</f>
        <v>0</v>
      </c>
      <c r="D77" s="33">
        <f>-B76*D76*E76</f>
        <v>0</v>
      </c>
      <c r="E77" s="34"/>
      <c r="F77" s="35">
        <v>3</v>
      </c>
      <c r="H77" s="36">
        <v>3</v>
      </c>
      <c r="I77" s="36">
        <v>4</v>
      </c>
      <c r="J77" s="36">
        <v>11</v>
      </c>
      <c r="K77" s="36">
        <v>12</v>
      </c>
      <c r="L77" s="34"/>
      <c r="M77" s="37">
        <f>G5</f>
        <v>0.34285714285714275</v>
      </c>
      <c r="N77" s="38"/>
      <c r="AR77" s="30">
        <f>F77</f>
        <v>3</v>
      </c>
      <c r="AS77" s="30">
        <f>AR77*1000+AS75</f>
        <v>3003</v>
      </c>
      <c r="AT77" s="30">
        <f>AR77*1000+AT75</f>
        <v>3004</v>
      </c>
      <c r="AU77" s="30">
        <f>AR77*1000+AU75</f>
        <v>3011</v>
      </c>
      <c r="AV77" s="30">
        <f>AR77*1000+AV75</f>
        <v>3012</v>
      </c>
    </row>
    <row r="78" spans="1:48" ht="15.75" x14ac:dyDescent="0.25">
      <c r="A78" s="32">
        <f>E76*B76*D76</f>
        <v>0</v>
      </c>
      <c r="B78" s="33">
        <f>E76*(D76^2)</f>
        <v>21000</v>
      </c>
      <c r="C78" s="33">
        <f>-B76*D76*E76</f>
        <v>0</v>
      </c>
      <c r="D78" s="33">
        <f>-(D76^2)*E76</f>
        <v>-21000</v>
      </c>
      <c r="E78" s="179">
        <v>7</v>
      </c>
      <c r="F78" s="35">
        <v>4</v>
      </c>
      <c r="G78" s="39" t="s">
        <v>89</v>
      </c>
      <c r="H78" s="36">
        <f>-B76*E76</f>
        <v>0</v>
      </c>
      <c r="I78" s="36">
        <f>-D76*E76</f>
        <v>-21000</v>
      </c>
      <c r="J78" s="36">
        <f>B76*E76</f>
        <v>0</v>
      </c>
      <c r="K78" s="40">
        <f>D76*E76</f>
        <v>21000</v>
      </c>
      <c r="L78" s="34"/>
      <c r="M78" s="37">
        <f>G6</f>
        <v>-1.3663911207989345</v>
      </c>
      <c r="N78" s="41" t="s">
        <v>57</v>
      </c>
      <c r="O78" s="42">
        <f>H78*M77+I78*M78+J78*M79+K78*M80</f>
        <v>-5.000000000003638</v>
      </c>
      <c r="AR78" s="30">
        <f>F78</f>
        <v>4</v>
      </c>
      <c r="AS78" s="30">
        <f>AR78*1000+AS75</f>
        <v>4003</v>
      </c>
      <c r="AT78" s="30">
        <f>AR78*1000+AT75</f>
        <v>4004</v>
      </c>
      <c r="AU78" s="30">
        <f>AR78*1000+AU75</f>
        <v>4011</v>
      </c>
      <c r="AV78" s="30">
        <f>AR78*1000+AV75</f>
        <v>4012</v>
      </c>
    </row>
    <row r="79" spans="1:48" x14ac:dyDescent="0.25">
      <c r="A79" s="32">
        <f>-(B76^2)*E76</f>
        <v>0</v>
      </c>
      <c r="B79" s="33">
        <f>-B76*D76*E76</f>
        <v>0</v>
      </c>
      <c r="C79" s="33">
        <f>E76*(B76^2)</f>
        <v>0</v>
      </c>
      <c r="D79" s="33">
        <f>B76*D76*E76</f>
        <v>0</v>
      </c>
      <c r="E79" s="34"/>
      <c r="F79" s="35">
        <v>11</v>
      </c>
      <c r="L79" s="34"/>
      <c r="M79" s="37">
        <f>G11</f>
        <v>0.62989727177883459</v>
      </c>
      <c r="N79" s="38"/>
      <c r="O79" s="33"/>
      <c r="AR79" s="30">
        <f>F79</f>
        <v>11</v>
      </c>
      <c r="AS79" s="30">
        <f>AR79*1000+AS75</f>
        <v>11003</v>
      </c>
      <c r="AT79" s="30">
        <f>AR79*1000+AT75</f>
        <v>11004</v>
      </c>
      <c r="AU79" s="30">
        <f>AR79*1000+AU75</f>
        <v>11011</v>
      </c>
      <c r="AV79" s="30">
        <f>AR79*1000+AV75</f>
        <v>11012</v>
      </c>
    </row>
    <row r="80" spans="1:48" ht="15.75" thickBot="1" x14ac:dyDescent="0.3">
      <c r="A80" s="43">
        <f>-B76*D76*E76</f>
        <v>0</v>
      </c>
      <c r="B80" s="44">
        <f>-(D76^2)*E76</f>
        <v>-21000</v>
      </c>
      <c r="C80" s="44">
        <f>B76*D76*E76</f>
        <v>0</v>
      </c>
      <c r="D80" s="44">
        <f>E76*(D76^2)</f>
        <v>21000</v>
      </c>
      <c r="E80" s="45"/>
      <c r="F80" s="35">
        <v>12</v>
      </c>
      <c r="L80" s="34"/>
      <c r="M80" s="37">
        <f>G12</f>
        <v>-1.3666292160370299</v>
      </c>
      <c r="N80" s="38"/>
      <c r="O80" s="33"/>
      <c r="AR80" s="30">
        <f>F80</f>
        <v>12</v>
      </c>
      <c r="AS80" s="30">
        <f>AR80*1000+AS75</f>
        <v>12003</v>
      </c>
      <c r="AT80" s="30">
        <f>AR80*1000+AT75</f>
        <v>12004</v>
      </c>
      <c r="AU80" s="30">
        <f>AR80*1000+AU75</f>
        <v>12011</v>
      </c>
      <c r="AV80" s="30">
        <f>AR80*1000+AV75</f>
        <v>12012</v>
      </c>
    </row>
    <row r="81" spans="1:48" ht="15.75" thickBot="1" x14ac:dyDescent="0.3">
      <c r="A81" s="168">
        <v>5</v>
      </c>
      <c r="B81" s="33">
        <v>6</v>
      </c>
      <c r="C81" s="33">
        <v>13</v>
      </c>
      <c r="D81" s="33">
        <v>14</v>
      </c>
      <c r="E81" s="31"/>
      <c r="F81" s="173"/>
      <c r="M81" s="170"/>
      <c r="AS81" s="30">
        <f>AR83</f>
        <v>5</v>
      </c>
      <c r="AT81" s="30">
        <f>AR84</f>
        <v>6</v>
      </c>
      <c r="AU81" s="30">
        <f>AR85</f>
        <v>13</v>
      </c>
      <c r="AV81" s="30">
        <f>AR86</f>
        <v>14</v>
      </c>
    </row>
    <row r="82" spans="1:48" x14ac:dyDescent="0.25">
      <c r="A82" s="26" t="s">
        <v>54</v>
      </c>
      <c r="B82" s="27">
        <f>(F32-D32)/C32</f>
        <v>0</v>
      </c>
      <c r="C82" s="28" t="s">
        <v>55</v>
      </c>
      <c r="D82" s="27">
        <f>(G32-E32)/C32</f>
        <v>1</v>
      </c>
      <c r="E82" s="29">
        <f>(H32*I32)/(C32)</f>
        <v>21000</v>
      </c>
      <c r="F82" s="35"/>
      <c r="M82" s="170"/>
    </row>
    <row r="83" spans="1:48" x14ac:dyDescent="0.25">
      <c r="A83" s="32">
        <f>E82*(B82^2)</f>
        <v>0</v>
      </c>
      <c r="B83" s="33">
        <f>E82*D82*B82</f>
        <v>0</v>
      </c>
      <c r="C83" s="33">
        <f>-A83</f>
        <v>0</v>
      </c>
      <c r="D83" s="33">
        <f>-B82*D82*E82</f>
        <v>0</v>
      </c>
      <c r="E83" s="34"/>
      <c r="F83" s="35">
        <v>5</v>
      </c>
      <c r="H83" s="36">
        <v>5</v>
      </c>
      <c r="I83" s="36">
        <v>6</v>
      </c>
      <c r="J83" s="36">
        <v>13</v>
      </c>
      <c r="K83" s="36">
        <v>14</v>
      </c>
      <c r="L83" s="34"/>
      <c r="M83" s="37">
        <f>G7</f>
        <v>0.68571428573925297</v>
      </c>
      <c r="N83" s="38"/>
      <c r="AR83" s="30">
        <f>F83</f>
        <v>5</v>
      </c>
      <c r="AS83" s="30">
        <f>AR83*1000+AS81</f>
        <v>5005</v>
      </c>
      <c r="AT83" s="30">
        <f>AR83*1000+AT81</f>
        <v>5006</v>
      </c>
      <c r="AU83" s="30">
        <f>AR83*1000+AU81</f>
        <v>5013</v>
      </c>
      <c r="AV83" s="30">
        <f>AR83*1000+AV81</f>
        <v>5014</v>
      </c>
    </row>
    <row r="84" spans="1:48" ht="15.75" x14ac:dyDescent="0.25">
      <c r="A84" s="32">
        <f>E82*B82*D82</f>
        <v>0</v>
      </c>
      <c r="B84" s="33">
        <f>E82*(D82^2)</f>
        <v>21000</v>
      </c>
      <c r="C84" s="33">
        <f>-B82*D82*E82</f>
        <v>0</v>
      </c>
      <c r="D84" s="33">
        <f>-(D82^2)*E82</f>
        <v>-21000</v>
      </c>
      <c r="E84" s="179">
        <v>8</v>
      </c>
      <c r="F84" s="35">
        <v>6</v>
      </c>
      <c r="G84" s="39" t="s">
        <v>90</v>
      </c>
      <c r="H84" s="36">
        <f>-B82*E82</f>
        <v>0</v>
      </c>
      <c r="I84" s="36">
        <f>-D82*E82</f>
        <v>-21000</v>
      </c>
      <c r="J84" s="36">
        <f>B82*E82</f>
        <v>0</v>
      </c>
      <c r="K84" s="40">
        <f>D82*E82</f>
        <v>21000</v>
      </c>
      <c r="L84" s="34"/>
      <c r="M84" s="37">
        <f>G8</f>
        <v>0.69531299662220414</v>
      </c>
      <c r="N84" s="41" t="s">
        <v>57</v>
      </c>
      <c r="O84" s="42">
        <f>H84*M83+I84*M84+J84*M85+K84*M86</f>
        <v>14</v>
      </c>
      <c r="AR84" s="30">
        <f>F84</f>
        <v>6</v>
      </c>
      <c r="AS84" s="30">
        <f>AR84*1000+AS81</f>
        <v>6005</v>
      </c>
      <c r="AT84" s="30">
        <f>AR84*1000+AT81</f>
        <v>6006</v>
      </c>
      <c r="AU84" s="30">
        <f>AR84*1000+AU81</f>
        <v>6013</v>
      </c>
      <c r="AV84" s="30">
        <f>AR84*1000+AV81</f>
        <v>6014</v>
      </c>
    </row>
    <row r="85" spans="1:48" x14ac:dyDescent="0.25">
      <c r="A85" s="32">
        <f>-(B82^2)*E82</f>
        <v>0</v>
      </c>
      <c r="B85" s="33">
        <f>-B82*D82*E82</f>
        <v>0</v>
      </c>
      <c r="C85" s="33">
        <f>E82*(B82^2)</f>
        <v>0</v>
      </c>
      <c r="D85" s="33">
        <f>B82*D82*E82</f>
        <v>0</v>
      </c>
      <c r="E85" s="34"/>
      <c r="F85" s="35">
        <v>13</v>
      </c>
      <c r="L85" s="34"/>
      <c r="M85" s="37">
        <f>G13</f>
        <v>0.97275441463597756</v>
      </c>
      <c r="N85" s="38"/>
      <c r="O85" s="33"/>
      <c r="AR85" s="30">
        <f>F85</f>
        <v>13</v>
      </c>
      <c r="AS85" s="30">
        <f>AR85*1000+AS81</f>
        <v>13005</v>
      </c>
      <c r="AT85" s="30">
        <f>AR85*1000+AT81</f>
        <v>13006</v>
      </c>
      <c r="AU85" s="30">
        <f>AR85*1000+AU81</f>
        <v>13013</v>
      </c>
      <c r="AV85" s="30">
        <f>AR85*1000+AV81</f>
        <v>13014</v>
      </c>
    </row>
    <row r="86" spans="1:48" ht="15.75" thickBot="1" x14ac:dyDescent="0.3">
      <c r="A86" s="43">
        <f>-B82*D82*E82</f>
        <v>0</v>
      </c>
      <c r="B86" s="44">
        <f>-(D82^2)*E82</f>
        <v>-21000</v>
      </c>
      <c r="C86" s="44">
        <f>B82*D82*E82</f>
        <v>0</v>
      </c>
      <c r="D86" s="44">
        <f>E82*(D82^2)</f>
        <v>21000</v>
      </c>
      <c r="E86" s="45"/>
      <c r="F86" s="35">
        <v>14</v>
      </c>
      <c r="L86" s="34"/>
      <c r="M86" s="37">
        <f>G14</f>
        <v>0.69597966328887084</v>
      </c>
      <c r="N86" s="38"/>
      <c r="O86" s="33"/>
      <c r="AR86" s="30">
        <f>F86</f>
        <v>14</v>
      </c>
      <c r="AS86" s="30">
        <f>AR86*1000+AS81</f>
        <v>14005</v>
      </c>
      <c r="AT86" s="30">
        <f>AR86*1000+AT81</f>
        <v>14006</v>
      </c>
      <c r="AU86" s="30">
        <f>AR86*1000+AU81</f>
        <v>14013</v>
      </c>
      <c r="AV86" s="30">
        <f>AR86*1000+AV81</f>
        <v>14014</v>
      </c>
    </row>
    <row r="87" spans="1:48" ht="15.75" thickBot="1" x14ac:dyDescent="0.3">
      <c r="A87" s="168">
        <v>7</v>
      </c>
      <c r="B87" s="33">
        <v>8</v>
      </c>
      <c r="C87" s="33">
        <v>15</v>
      </c>
      <c r="D87" s="33">
        <v>16</v>
      </c>
      <c r="E87" s="169"/>
      <c r="F87" s="35"/>
      <c r="M87" s="170"/>
      <c r="AS87" s="30">
        <f>AR89</f>
        <v>7</v>
      </c>
      <c r="AT87" s="30">
        <f>AR90</f>
        <v>8</v>
      </c>
      <c r="AU87" s="30">
        <f>AR91</f>
        <v>15</v>
      </c>
      <c r="AV87" s="30">
        <f>AR92</f>
        <v>16</v>
      </c>
    </row>
    <row r="88" spans="1:48" x14ac:dyDescent="0.25">
      <c r="A88" s="26" t="s">
        <v>54</v>
      </c>
      <c r="B88" s="27">
        <f>(F32-D32)/C32</f>
        <v>0</v>
      </c>
      <c r="C88" s="28" t="s">
        <v>55</v>
      </c>
      <c r="D88" s="27">
        <f>(G33-E33)/C33</f>
        <v>1</v>
      </c>
      <c r="E88" s="29">
        <f>(H33*I33)/(C33)</f>
        <v>21000</v>
      </c>
      <c r="F88" s="35"/>
      <c r="H88" s="36"/>
      <c r="M88" s="170"/>
    </row>
    <row r="89" spans="1:48" x14ac:dyDescent="0.25">
      <c r="A89" s="32">
        <f>E88*(B88^2)</f>
        <v>0</v>
      </c>
      <c r="B89" s="33">
        <f>E88*D88*B88</f>
        <v>0</v>
      </c>
      <c r="C89" s="33">
        <f>-A89</f>
        <v>0</v>
      </c>
      <c r="D89" s="33">
        <f>-B88*D88*E88</f>
        <v>0</v>
      </c>
      <c r="E89" s="34"/>
      <c r="F89" s="35">
        <v>7</v>
      </c>
      <c r="H89" s="36">
        <v>7</v>
      </c>
      <c r="I89" s="36">
        <v>8</v>
      </c>
      <c r="J89" s="36">
        <v>15</v>
      </c>
      <c r="K89" s="36">
        <v>16</v>
      </c>
      <c r="L89" s="34"/>
      <c r="M89" s="37">
        <f>G9</f>
        <v>0.34285714285714286</v>
      </c>
      <c r="N89" s="38"/>
      <c r="AR89" s="30">
        <f>F89</f>
        <v>7</v>
      </c>
      <c r="AS89" s="30">
        <f>AR89*1000+AS87</f>
        <v>7007</v>
      </c>
      <c r="AT89" s="30">
        <f>AR89*1000+AT87</f>
        <v>7008</v>
      </c>
      <c r="AU89" s="30">
        <f>AR89*1000+AU87</f>
        <v>7015</v>
      </c>
      <c r="AV89" s="30">
        <f>AR89*1000+AV87</f>
        <v>7016</v>
      </c>
    </row>
    <row r="90" spans="1:48" ht="15.75" x14ac:dyDescent="0.25">
      <c r="A90" s="32">
        <f>E88*B88*D88</f>
        <v>0</v>
      </c>
      <c r="B90" s="33">
        <f>E88*(D88^2)</f>
        <v>21000</v>
      </c>
      <c r="C90" s="33">
        <f>-B88*D88*E88</f>
        <v>0</v>
      </c>
      <c r="D90" s="33">
        <f>-(D88^2)*E88</f>
        <v>-21000</v>
      </c>
      <c r="E90" s="179">
        <v>9</v>
      </c>
      <c r="F90" s="35">
        <v>8</v>
      </c>
      <c r="G90" s="39" t="s">
        <v>91</v>
      </c>
      <c r="H90" s="36">
        <f>-B88*E88</f>
        <v>0</v>
      </c>
      <c r="I90" s="36">
        <f>-D88*E88</f>
        <v>-21000</v>
      </c>
      <c r="J90" s="36">
        <f>B88*E88</f>
        <v>0</v>
      </c>
      <c r="K90" s="40">
        <f>D88*E88</f>
        <v>21000</v>
      </c>
      <c r="L90" s="34"/>
      <c r="M90" s="37">
        <f>G10</f>
        <v>2.7576837807100083</v>
      </c>
      <c r="N90" s="41" t="s">
        <v>57</v>
      </c>
      <c r="O90" s="42">
        <f>H90*M89+I90*M90+J90*M91+K90*M92</f>
        <v>-9.000000000007276</v>
      </c>
      <c r="AR90" s="30">
        <f>F90</f>
        <v>8</v>
      </c>
      <c r="AS90" s="30">
        <f>AR90*1000+AS87</f>
        <v>8007</v>
      </c>
      <c r="AT90" s="30">
        <f>AR90*1000+AT87</f>
        <v>8008</v>
      </c>
      <c r="AU90" s="30">
        <f>AR90*1000+AU87</f>
        <v>8015</v>
      </c>
      <c r="AV90" s="30">
        <f>AR90*1000+AV87</f>
        <v>8016</v>
      </c>
    </row>
    <row r="91" spans="1:48" x14ac:dyDescent="0.25">
      <c r="A91" s="32">
        <f>-(B88^2)*E88</f>
        <v>0</v>
      </c>
      <c r="B91" s="33">
        <f>-B88*D88*E88</f>
        <v>0</v>
      </c>
      <c r="C91" s="33">
        <f>E88*(B88^2)</f>
        <v>0</v>
      </c>
      <c r="D91" s="33">
        <f>B88*D88*E88</f>
        <v>0</v>
      </c>
      <c r="E91" s="34"/>
      <c r="F91" s="35">
        <v>15</v>
      </c>
      <c r="L91" s="34"/>
      <c r="M91" s="37">
        <f>G15</f>
        <v>0.62989727177883481</v>
      </c>
      <c r="N91" s="38"/>
      <c r="O91" s="33"/>
      <c r="AR91" s="30">
        <f>F91</f>
        <v>15</v>
      </c>
      <c r="AS91" s="30">
        <f>AR91*1000+AS87</f>
        <v>15007</v>
      </c>
      <c r="AT91" s="30">
        <f>AR91*1000+AT87</f>
        <v>15008</v>
      </c>
      <c r="AU91" s="30">
        <f>AR91*1000+AU87</f>
        <v>15015</v>
      </c>
      <c r="AV91" s="30">
        <f>AR91*1000+AV87</f>
        <v>15016</v>
      </c>
    </row>
    <row r="92" spans="1:48" ht="15.75" thickBot="1" x14ac:dyDescent="0.3">
      <c r="A92" s="43">
        <f>-B88*D88*E88</f>
        <v>0</v>
      </c>
      <c r="B92" s="44">
        <f>-(D88^2)*E88</f>
        <v>-21000</v>
      </c>
      <c r="C92" s="44">
        <f>B88*D88*E88</f>
        <v>0</v>
      </c>
      <c r="D92" s="44">
        <f>E88*(D88^2)</f>
        <v>21000</v>
      </c>
      <c r="E92" s="45"/>
      <c r="F92" s="35">
        <v>16</v>
      </c>
      <c r="L92" s="34"/>
      <c r="M92" s="37">
        <f>G16</f>
        <v>2.7572552092814369</v>
      </c>
      <c r="N92" s="38"/>
      <c r="O92" s="33"/>
      <c r="AR92" s="30">
        <f>F92</f>
        <v>16</v>
      </c>
      <c r="AS92" s="30">
        <f>AR92*1000+AS87</f>
        <v>16007</v>
      </c>
      <c r="AT92" s="30">
        <f>AR92*1000+AT87</f>
        <v>16008</v>
      </c>
      <c r="AU92" s="30">
        <f>AR92*1000+AU87</f>
        <v>16015</v>
      </c>
      <c r="AV92" s="30">
        <f>AR92*1000+AV87</f>
        <v>16016</v>
      </c>
    </row>
    <row r="93" spans="1:48" ht="15.75" thickBot="1" x14ac:dyDescent="0.3">
      <c r="A93" s="168">
        <v>1</v>
      </c>
      <c r="B93" s="33">
        <v>2</v>
      </c>
      <c r="C93" s="33">
        <v>11</v>
      </c>
      <c r="D93" s="33">
        <v>12</v>
      </c>
      <c r="E93" s="169"/>
      <c r="F93" s="35"/>
      <c r="M93" s="170"/>
      <c r="AS93" s="30">
        <f>AR95</f>
        <v>1</v>
      </c>
      <c r="AT93" s="30">
        <f>AR96</f>
        <v>2</v>
      </c>
      <c r="AU93" s="30">
        <f>AR97</f>
        <v>11</v>
      </c>
      <c r="AV93" s="30">
        <f>AR98</f>
        <v>12</v>
      </c>
    </row>
    <row r="94" spans="1:48" x14ac:dyDescent="0.25">
      <c r="A94" s="26" t="s">
        <v>54</v>
      </c>
      <c r="B94" s="27">
        <f>(F34-D34)/C34</f>
        <v>0.98058067569092011</v>
      </c>
      <c r="C94" s="28" t="s">
        <v>55</v>
      </c>
      <c r="D94" s="27">
        <f>(G34-E34)/C34</f>
        <v>0.19611613513818404</v>
      </c>
      <c r="E94" s="29">
        <f>(H34*I34)/(C34)</f>
        <v>9877.2916666666806</v>
      </c>
      <c r="F94" s="35"/>
      <c r="M94" s="170"/>
    </row>
    <row r="95" spans="1:48" x14ac:dyDescent="0.25">
      <c r="A95" s="32">
        <f>E94*(B94^2)</f>
        <v>9497.3958333333467</v>
      </c>
      <c r="B95" s="33">
        <f>E94*D94*B94</f>
        <v>1899.4791666666695</v>
      </c>
      <c r="C95" s="33">
        <f>-A95</f>
        <v>-9497.3958333333467</v>
      </c>
      <c r="D95" s="33">
        <f>-B94*D94*E94</f>
        <v>-1899.4791666666695</v>
      </c>
      <c r="E95" s="34"/>
      <c r="F95" s="35">
        <v>1</v>
      </c>
      <c r="H95" s="36">
        <v>1</v>
      </c>
      <c r="I95" s="36">
        <v>2</v>
      </c>
      <c r="J95" s="36">
        <v>11</v>
      </c>
      <c r="K95" s="36">
        <v>12</v>
      </c>
      <c r="L95" s="34"/>
      <c r="M95" s="37">
        <v>0</v>
      </c>
      <c r="N95" s="38"/>
      <c r="AR95" s="30">
        <f>F95</f>
        <v>1</v>
      </c>
      <c r="AS95" s="30">
        <f>AR95*1000+AS93</f>
        <v>1001</v>
      </c>
      <c r="AT95" s="30">
        <f>AR95*1000+AT93</f>
        <v>1002</v>
      </c>
      <c r="AU95" s="30">
        <f>AR95*1000+AU93</f>
        <v>1011</v>
      </c>
      <c r="AV95" s="30">
        <f>AR95*1000+AV93</f>
        <v>1012</v>
      </c>
    </row>
    <row r="96" spans="1:48" ht="15.75" x14ac:dyDescent="0.25">
      <c r="A96" s="32">
        <f>E94*B94*D94</f>
        <v>1899.4791666666695</v>
      </c>
      <c r="B96" s="33">
        <f>E94*(D94^2)</f>
        <v>379.89583333333388</v>
      </c>
      <c r="C96" s="33">
        <f>-B94*D94*E94</f>
        <v>-1899.4791666666695</v>
      </c>
      <c r="D96" s="33">
        <f>-(D94^2)*E94</f>
        <v>-379.89583333333388</v>
      </c>
      <c r="E96" s="179">
        <v>10</v>
      </c>
      <c r="F96" s="35">
        <v>2</v>
      </c>
      <c r="G96" s="39" t="s">
        <v>92</v>
      </c>
      <c r="H96" s="36">
        <f>-B94*E94</f>
        <v>-9685.4813364963084</v>
      </c>
      <c r="I96" s="36">
        <f>-D94*E94</f>
        <v>-1937.0962672992619</v>
      </c>
      <c r="J96" s="36">
        <f>B94*E94</f>
        <v>9685.4813364963084</v>
      </c>
      <c r="K96" s="40">
        <f>D94*E94</f>
        <v>1937.0962672992619</v>
      </c>
      <c r="L96" s="34"/>
      <c r="M96" s="37">
        <v>0</v>
      </c>
      <c r="N96" s="41" t="s">
        <v>57</v>
      </c>
      <c r="O96" s="42">
        <f>H96*M95+I96*M96+J96*M97+K96*M98</f>
        <v>3453.565916556398</v>
      </c>
      <c r="AR96" s="30">
        <f>F96</f>
        <v>2</v>
      </c>
      <c r="AS96" s="30">
        <f>AR96*1000+AS93</f>
        <v>2001</v>
      </c>
      <c r="AT96" s="30">
        <f>AR96*1000+AT93</f>
        <v>2002</v>
      </c>
      <c r="AU96" s="30">
        <f>AR96*1000+AU93</f>
        <v>2011</v>
      </c>
      <c r="AV96" s="30">
        <f>AR96*1000+AV93</f>
        <v>2012</v>
      </c>
    </row>
    <row r="97" spans="1:48" x14ac:dyDescent="0.25">
      <c r="A97" s="32">
        <f>-(B94^2)*E94</f>
        <v>-9497.3958333333467</v>
      </c>
      <c r="B97" s="33">
        <f>-B94*D94*E94</f>
        <v>-1899.4791666666695</v>
      </c>
      <c r="C97" s="33">
        <f>E94*(B94^2)</f>
        <v>9497.3958333333467</v>
      </c>
      <c r="D97" s="33">
        <f>B94*D94*E94</f>
        <v>1899.4791666666695</v>
      </c>
      <c r="E97" s="34"/>
      <c r="F97" s="35">
        <v>11</v>
      </c>
      <c r="L97" s="34"/>
      <c r="M97" s="37">
        <f>G11</f>
        <v>0.62989727177883459</v>
      </c>
      <c r="N97" s="38"/>
      <c r="O97" s="33"/>
      <c r="AR97" s="30">
        <f>F97</f>
        <v>11</v>
      </c>
      <c r="AS97" s="30">
        <f>AR97*1000+AS93</f>
        <v>11001</v>
      </c>
      <c r="AT97" s="30">
        <f>AR97*1000+AT93</f>
        <v>11002</v>
      </c>
      <c r="AU97" s="30">
        <f>AR97*1000+AU93</f>
        <v>11011</v>
      </c>
      <c r="AV97" s="30">
        <f>AR97*1000+AV93</f>
        <v>11012</v>
      </c>
    </row>
    <row r="98" spans="1:48" ht="15.75" thickBot="1" x14ac:dyDescent="0.3">
      <c r="A98" s="43">
        <f>-B94*D94*E94</f>
        <v>-1899.4791666666695</v>
      </c>
      <c r="B98" s="44">
        <f>-(D94^2)*E94</f>
        <v>-379.89583333333388</v>
      </c>
      <c r="C98" s="44">
        <f>B94*D94*E94</f>
        <v>1899.4791666666695</v>
      </c>
      <c r="D98" s="44">
        <f>E94*(D94^2)</f>
        <v>379.89583333333388</v>
      </c>
      <c r="E98" s="45"/>
      <c r="F98" s="35">
        <v>12</v>
      </c>
      <c r="L98" s="34"/>
      <c r="M98" s="37">
        <f>G12</f>
        <v>-1.3666292160370299</v>
      </c>
      <c r="N98" s="38"/>
      <c r="O98" s="33"/>
      <c r="AR98" s="30">
        <f>F98</f>
        <v>12</v>
      </c>
      <c r="AS98" s="30">
        <f>AR98*1000+AS93</f>
        <v>12001</v>
      </c>
      <c r="AT98" s="30">
        <f>AR98*1000+AT93</f>
        <v>12002</v>
      </c>
      <c r="AU98" s="30">
        <f>AR98*1000+AU93</f>
        <v>12011</v>
      </c>
      <c r="AV98" s="30">
        <f>AR98*1000+AV93</f>
        <v>12012</v>
      </c>
    </row>
    <row r="99" spans="1:48" ht="15.75" thickBot="1" x14ac:dyDescent="0.3">
      <c r="A99" s="168">
        <v>11</v>
      </c>
      <c r="B99" s="33">
        <v>12</v>
      </c>
      <c r="C99" s="33">
        <v>5</v>
      </c>
      <c r="D99" s="33">
        <v>6</v>
      </c>
      <c r="E99" s="169"/>
      <c r="F99" s="35"/>
      <c r="M99" s="170"/>
      <c r="AS99" s="30">
        <f>AR101</f>
        <v>11</v>
      </c>
      <c r="AT99" s="30">
        <f>AR102</f>
        <v>12</v>
      </c>
      <c r="AU99" s="30">
        <f>AR103</f>
        <v>5</v>
      </c>
      <c r="AV99" s="30">
        <f>AR104</f>
        <v>6</v>
      </c>
    </row>
    <row r="100" spans="1:48" x14ac:dyDescent="0.25">
      <c r="A100" s="26" t="s">
        <v>54</v>
      </c>
      <c r="B100" s="27">
        <f>(F35-D35)/C35</f>
        <v>0.98058067569092011</v>
      </c>
      <c r="C100" s="28" t="s">
        <v>55</v>
      </c>
      <c r="D100" s="27">
        <f>(G35-E35)/C35</f>
        <v>-0.19611613513818404</v>
      </c>
      <c r="E100" s="29">
        <f>(H35*I35)/(C35)</f>
        <v>9629.3750000000018</v>
      </c>
      <c r="F100" s="35"/>
      <c r="M100" s="170"/>
    </row>
    <row r="101" spans="1:48" x14ac:dyDescent="0.25">
      <c r="A101" s="32">
        <f>E100*(B100^2)</f>
        <v>9259.0144230769238</v>
      </c>
      <c r="B101" s="33">
        <f>E100*D100*B100</f>
        <v>-1851.802884615385</v>
      </c>
      <c r="C101" s="33">
        <f>-A101</f>
        <v>-9259.0144230769238</v>
      </c>
      <c r="D101" s="33">
        <f>-B100*D100*E100</f>
        <v>1851.802884615385</v>
      </c>
      <c r="E101" s="34"/>
      <c r="F101" s="35">
        <v>11</v>
      </c>
      <c r="H101" s="36">
        <v>11</v>
      </c>
      <c r="I101" s="36">
        <v>12</v>
      </c>
      <c r="J101" s="36">
        <v>5</v>
      </c>
      <c r="K101" s="36">
        <v>6</v>
      </c>
      <c r="L101" s="34"/>
      <c r="M101" s="37">
        <f>G11</f>
        <v>0.62989727177883459</v>
      </c>
      <c r="N101" s="38"/>
      <c r="AR101" s="30">
        <f>F101</f>
        <v>11</v>
      </c>
      <c r="AS101" s="30">
        <f>AR101*1000+AS99</f>
        <v>11011</v>
      </c>
      <c r="AT101" s="30">
        <f>AR101*1000+AT99</f>
        <v>11012</v>
      </c>
      <c r="AU101" s="30">
        <f>AR101*1000+AU99</f>
        <v>11005</v>
      </c>
      <c r="AV101" s="30">
        <f>AR101*1000+AV99</f>
        <v>11006</v>
      </c>
    </row>
    <row r="102" spans="1:48" ht="15.75" x14ac:dyDescent="0.25">
      <c r="A102" s="32">
        <f>E100*B100*D100</f>
        <v>-1851.8028846153852</v>
      </c>
      <c r="B102" s="33">
        <f>E100*(D100^2)</f>
        <v>370.36057692307702</v>
      </c>
      <c r="C102" s="33">
        <f>-B100*D100*E100</f>
        <v>1851.802884615385</v>
      </c>
      <c r="D102" s="33">
        <f>-(D100^2)*E100</f>
        <v>-370.36057692307702</v>
      </c>
      <c r="E102" s="179">
        <v>11</v>
      </c>
      <c r="F102" s="35">
        <v>12</v>
      </c>
      <c r="G102" s="39" t="s">
        <v>162</v>
      </c>
      <c r="H102" s="36">
        <f>-B100*E100</f>
        <v>-9442.3790439812565</v>
      </c>
      <c r="I102" s="36">
        <f>-D100*E100</f>
        <v>1888.4758087962514</v>
      </c>
      <c r="J102" s="36">
        <f>B100*E100</f>
        <v>9442.3790439812565</v>
      </c>
      <c r="K102" s="40">
        <f>D100*E100</f>
        <v>-1888.4758087962514</v>
      </c>
      <c r="L102" s="34"/>
      <c r="M102" s="37">
        <f>G12</f>
        <v>-1.3666292160370299</v>
      </c>
      <c r="N102" s="41" t="s">
        <v>57</v>
      </c>
      <c r="O102" s="42">
        <f>H102*M101+I102*M102+J102*M103+K102*M104</f>
        <v>-3366.8825848253164</v>
      </c>
      <c r="AR102" s="30">
        <f>F102</f>
        <v>12</v>
      </c>
      <c r="AS102" s="30">
        <f>AR102*1000+AS99</f>
        <v>12011</v>
      </c>
      <c r="AT102" s="30">
        <f>AR102*1000+AT99</f>
        <v>12012</v>
      </c>
      <c r="AU102" s="30">
        <f>AR102*1000+AU99</f>
        <v>12005</v>
      </c>
      <c r="AV102" s="30">
        <f>AR102*1000+AV99</f>
        <v>12006</v>
      </c>
    </row>
    <row r="103" spans="1:48" x14ac:dyDescent="0.25">
      <c r="A103" s="32">
        <f>-(B100^2)*E100</f>
        <v>-9259.0144230769238</v>
      </c>
      <c r="B103" s="33">
        <f>-B100*D100*E100</f>
        <v>1851.802884615385</v>
      </c>
      <c r="C103" s="33">
        <f>E100*(B100^2)</f>
        <v>9259.0144230769238</v>
      </c>
      <c r="D103" s="33">
        <f>B100*D100*E100</f>
        <v>-1851.802884615385</v>
      </c>
      <c r="E103" s="34"/>
      <c r="F103" s="35">
        <v>5</v>
      </c>
      <c r="L103" s="34"/>
      <c r="M103" s="37">
        <f>G7</f>
        <v>0.68571428573925297</v>
      </c>
      <c r="N103" s="38"/>
      <c r="O103" s="33"/>
      <c r="AR103" s="30">
        <f>F103</f>
        <v>5</v>
      </c>
      <c r="AS103" s="30">
        <f>AR103*1000+AS99</f>
        <v>5011</v>
      </c>
      <c r="AT103" s="30">
        <f>AR103*1000+AT99</f>
        <v>5012</v>
      </c>
      <c r="AU103" s="30">
        <f>AR103*1000+AU99</f>
        <v>5005</v>
      </c>
      <c r="AV103" s="30">
        <f>AR103*1000+AV99</f>
        <v>5006</v>
      </c>
    </row>
    <row r="104" spans="1:48" ht="15.75" thickBot="1" x14ac:dyDescent="0.3">
      <c r="A104" s="43">
        <f>-B100*D100*E100</f>
        <v>1851.802884615385</v>
      </c>
      <c r="B104" s="44">
        <f>-(D100^2)*E100</f>
        <v>-370.36057692307702</v>
      </c>
      <c r="C104" s="44">
        <f>B100*D100*E100</f>
        <v>-1851.802884615385</v>
      </c>
      <c r="D104" s="44">
        <f>E100*(D100^2)</f>
        <v>370.36057692307702</v>
      </c>
      <c r="E104" s="45"/>
      <c r="F104" s="35">
        <v>6</v>
      </c>
      <c r="L104" s="34"/>
      <c r="M104" s="37">
        <f>G8</f>
        <v>0.69531299662220414</v>
      </c>
      <c r="N104" s="38"/>
      <c r="O104" s="33"/>
      <c r="AR104" s="30">
        <f>F104</f>
        <v>6</v>
      </c>
      <c r="AS104" s="30">
        <f>AR104*1000+AS99</f>
        <v>6011</v>
      </c>
      <c r="AT104" s="30">
        <f>AR104*1000+AT99</f>
        <v>6012</v>
      </c>
      <c r="AU104" s="30">
        <f>AR104*1000+AU99</f>
        <v>6005</v>
      </c>
      <c r="AV104" s="30">
        <f>AR104*1000+AV99</f>
        <v>6006</v>
      </c>
    </row>
    <row r="105" spans="1:48" ht="15.75" thickBot="1" x14ac:dyDescent="0.3">
      <c r="A105" s="168">
        <v>5</v>
      </c>
      <c r="B105" s="33">
        <v>6</v>
      </c>
      <c r="C105" s="33">
        <v>15</v>
      </c>
      <c r="D105" s="33">
        <v>16</v>
      </c>
      <c r="E105" s="169"/>
      <c r="F105" s="35"/>
      <c r="M105" s="170"/>
      <c r="AS105" s="30">
        <f>AR107</f>
        <v>5</v>
      </c>
      <c r="AT105" s="30">
        <f>AR108</f>
        <v>6</v>
      </c>
      <c r="AU105" s="30">
        <f>AR109</f>
        <v>15</v>
      </c>
      <c r="AV105" s="30">
        <f>AR110</f>
        <v>16</v>
      </c>
    </row>
    <row r="106" spans="1:48" x14ac:dyDescent="0.25">
      <c r="A106" s="26" t="s">
        <v>54</v>
      </c>
      <c r="B106" s="27">
        <f>(F36-D36)/C36</f>
        <v>0.98058067569092011</v>
      </c>
      <c r="C106" s="28" t="s">
        <v>55</v>
      </c>
      <c r="D106" s="27">
        <f>(G36-E36)/C36</f>
        <v>0.19611613513818404</v>
      </c>
      <c r="E106" s="29">
        <f>(H36*I36)/(C36)</f>
        <v>9425.2083333333412</v>
      </c>
      <c r="F106" s="35"/>
      <c r="M106" s="170"/>
    </row>
    <row r="107" spans="1:48" x14ac:dyDescent="0.25">
      <c r="A107" s="32">
        <f>E106*(B106^2)</f>
        <v>9062.7003205128276</v>
      </c>
      <c r="B107" s="33">
        <f>E106*D106*B106</f>
        <v>1812.5400641025658</v>
      </c>
      <c r="C107" s="33">
        <f>-A107</f>
        <v>-9062.7003205128276</v>
      </c>
      <c r="D107" s="33">
        <f>-B106*D106*E106</f>
        <v>-1812.5400641025658</v>
      </c>
      <c r="E107" s="34"/>
      <c r="F107" s="35">
        <v>5</v>
      </c>
      <c r="H107" s="36">
        <v>5</v>
      </c>
      <c r="I107" s="36">
        <v>6</v>
      </c>
      <c r="J107" s="36">
        <v>15</v>
      </c>
      <c r="K107" s="36">
        <v>16</v>
      </c>
      <c r="L107" s="34"/>
      <c r="M107" s="37">
        <f>G7</f>
        <v>0.68571428573925297</v>
      </c>
      <c r="N107" s="38"/>
      <c r="AR107" s="30">
        <f>F107</f>
        <v>5</v>
      </c>
      <c r="AS107" s="30">
        <f>AR107*1000+AS105</f>
        <v>5005</v>
      </c>
      <c r="AT107" s="30">
        <f>AR107*1000+AT105</f>
        <v>5006</v>
      </c>
      <c r="AU107" s="30">
        <f>AR107*1000+AU105</f>
        <v>5015</v>
      </c>
      <c r="AV107" s="30">
        <f>AR107*1000+AV105</f>
        <v>5016</v>
      </c>
    </row>
    <row r="108" spans="1:48" ht="15.75" x14ac:dyDescent="0.25">
      <c r="A108" s="32">
        <f>E106*B106*D106</f>
        <v>1812.5400641025658</v>
      </c>
      <c r="B108" s="33">
        <f>E106*(D106^2)</f>
        <v>362.50801282051316</v>
      </c>
      <c r="C108" s="33">
        <f>-B106*D106*E106</f>
        <v>-1812.5400641025658</v>
      </c>
      <c r="D108" s="33">
        <f>-(D106^2)*E106</f>
        <v>-362.50801282051316</v>
      </c>
      <c r="E108" s="179">
        <v>12</v>
      </c>
      <c r="F108" s="35">
        <v>6</v>
      </c>
      <c r="G108" s="39" t="s">
        <v>163</v>
      </c>
      <c r="H108" s="36">
        <f>-B106*E106</f>
        <v>-9242.1771560276993</v>
      </c>
      <c r="I108" s="36">
        <f>-D106*E106</f>
        <v>-1848.43543120554</v>
      </c>
      <c r="J108" s="36">
        <f>B106*E106</f>
        <v>9242.1771560276993</v>
      </c>
      <c r="K108" s="40">
        <f>D106*E106</f>
        <v>1848.43543120554</v>
      </c>
      <c r="L108" s="34"/>
      <c r="M108" s="37">
        <f>G8</f>
        <v>0.69531299662220414</v>
      </c>
      <c r="N108" s="41" t="s">
        <v>57</v>
      </c>
      <c r="O108" s="42">
        <f>H108*M107+I108*M108+J108*M109+K108*M110</f>
        <v>3295.4963116350182</v>
      </c>
      <c r="AR108" s="30">
        <f>F108</f>
        <v>6</v>
      </c>
      <c r="AS108" s="30">
        <f>AR108*1000+AS105</f>
        <v>6005</v>
      </c>
      <c r="AT108" s="30">
        <f>AR108*1000+AT105</f>
        <v>6006</v>
      </c>
      <c r="AU108" s="30">
        <f>AR108*1000+AU105</f>
        <v>6015</v>
      </c>
      <c r="AV108" s="30">
        <f>AR108*1000+AV105</f>
        <v>6016</v>
      </c>
    </row>
    <row r="109" spans="1:48" x14ac:dyDescent="0.25">
      <c r="A109" s="32">
        <f>-(B106^2)*E106</f>
        <v>-9062.7003205128276</v>
      </c>
      <c r="B109" s="33">
        <f>-B106*D106*E106</f>
        <v>-1812.5400641025658</v>
      </c>
      <c r="C109" s="33">
        <f>E106*(B106^2)</f>
        <v>9062.7003205128276</v>
      </c>
      <c r="D109" s="33">
        <f>B106*D106*E106</f>
        <v>1812.5400641025658</v>
      </c>
      <c r="E109" s="34"/>
      <c r="F109" s="35">
        <v>15</v>
      </c>
      <c r="L109" s="34"/>
      <c r="M109" s="37">
        <f>G15</f>
        <v>0.62989727177883481</v>
      </c>
      <c r="N109" s="38"/>
      <c r="O109" s="33"/>
      <c r="AR109" s="30">
        <f>F109</f>
        <v>15</v>
      </c>
      <c r="AS109" s="30">
        <f>AR109*1000+AS105</f>
        <v>15005</v>
      </c>
      <c r="AT109" s="30">
        <f>AR109*1000+AT105</f>
        <v>15006</v>
      </c>
      <c r="AU109" s="30">
        <f>AR109*1000+AU105</f>
        <v>15015</v>
      </c>
      <c r="AV109" s="30">
        <f>AR109*1000+AV105</f>
        <v>15016</v>
      </c>
    </row>
    <row r="110" spans="1:48" ht="15.75" thickBot="1" x14ac:dyDescent="0.3">
      <c r="A110" s="43">
        <f>-B106*D106*E106</f>
        <v>-1812.5400641025658</v>
      </c>
      <c r="B110" s="44">
        <f>-(D106^2)*E106</f>
        <v>-362.50801282051316</v>
      </c>
      <c r="C110" s="44">
        <f>B106*D106*E106</f>
        <v>1812.5400641025658</v>
      </c>
      <c r="D110" s="44">
        <f>E106*(D106^2)</f>
        <v>362.50801282051316</v>
      </c>
      <c r="E110" s="45"/>
      <c r="F110" s="35">
        <v>16</v>
      </c>
      <c r="L110" s="34"/>
      <c r="M110" s="37">
        <f>G16</f>
        <v>2.7572552092814369</v>
      </c>
      <c r="N110" s="38"/>
      <c r="O110" s="33"/>
      <c r="AR110" s="30">
        <f>F110</f>
        <v>16</v>
      </c>
      <c r="AS110" s="30">
        <f>AR110*1000+AS105</f>
        <v>16005</v>
      </c>
      <c r="AT110" s="30">
        <f>AR110*1000+AT105</f>
        <v>16006</v>
      </c>
      <c r="AU110" s="30">
        <f>AR110*1000+AU105</f>
        <v>16015</v>
      </c>
      <c r="AV110" s="30">
        <f>AR110*1000+AV105</f>
        <v>16016</v>
      </c>
    </row>
    <row r="111" spans="1:48" ht="15.75" thickBot="1" x14ac:dyDescent="0.3">
      <c r="A111" s="32">
        <v>15</v>
      </c>
      <c r="B111" s="33">
        <v>16</v>
      </c>
      <c r="C111" s="33">
        <v>9</v>
      </c>
      <c r="D111" s="33">
        <v>10</v>
      </c>
      <c r="E111" s="169"/>
      <c r="F111" s="35"/>
      <c r="M111" s="170"/>
      <c r="AS111" s="30">
        <f>AR113</f>
        <v>15</v>
      </c>
      <c r="AT111" s="30">
        <f>AR114</f>
        <v>16</v>
      </c>
      <c r="AU111" s="30">
        <f>AR115</f>
        <v>9</v>
      </c>
      <c r="AV111" s="30">
        <f>AR116</f>
        <v>10</v>
      </c>
    </row>
    <row r="112" spans="1:48" x14ac:dyDescent="0.25">
      <c r="A112" s="26" t="s">
        <v>54</v>
      </c>
      <c r="B112" s="27">
        <f>(F37-D37)/C37</f>
        <v>0.98058067569092011</v>
      </c>
      <c r="C112" s="28" t="s">
        <v>55</v>
      </c>
      <c r="D112" s="27">
        <f>(G37-E37)/C37</f>
        <v>-0.19611613513818404</v>
      </c>
      <c r="E112" s="29">
        <f>(H37*I37)/(C37)</f>
        <v>41184.388379018645</v>
      </c>
      <c r="F112" s="35"/>
      <c r="M112" s="170"/>
    </row>
    <row r="113" spans="1:48" x14ac:dyDescent="0.25">
      <c r="A113" s="32">
        <f>E112*(B112^2)</f>
        <v>39600.373441364078</v>
      </c>
      <c r="B113" s="33">
        <f>E112*D112*B112</f>
        <v>-7920.0746882728163</v>
      </c>
      <c r="C113" s="33">
        <f>-A113</f>
        <v>-39600.373441364078</v>
      </c>
      <c r="D113" s="33">
        <f>-B112*D112*E112</f>
        <v>7920.0746882728163</v>
      </c>
      <c r="E113" s="34"/>
      <c r="F113" s="35">
        <v>15</v>
      </c>
      <c r="H113" s="36">
        <v>15</v>
      </c>
      <c r="I113" s="36">
        <v>16</v>
      </c>
      <c r="J113" s="36">
        <v>9</v>
      </c>
      <c r="K113" s="36">
        <v>10</v>
      </c>
      <c r="L113" s="34"/>
      <c r="M113" s="37">
        <f>G15</f>
        <v>0.62989727177883481</v>
      </c>
      <c r="N113" s="38"/>
      <c r="AR113" s="30">
        <f>F113</f>
        <v>15</v>
      </c>
      <c r="AS113" s="30">
        <f>AR113*1000+AS111</f>
        <v>15015</v>
      </c>
      <c r="AT113" s="30">
        <f>AR113*1000+AT111</f>
        <v>15016</v>
      </c>
      <c r="AU113" s="30">
        <f>AR113*1000+AU111</f>
        <v>15009</v>
      </c>
      <c r="AV113" s="30">
        <f>AR113*1000+AV111</f>
        <v>15010</v>
      </c>
    </row>
    <row r="114" spans="1:48" ht="15.75" x14ac:dyDescent="0.25">
      <c r="A114" s="32">
        <f>E112*B112*D112</f>
        <v>-7920.0746882728172</v>
      </c>
      <c r="B114" s="33">
        <f>E112*(D112^2)</f>
        <v>1584.0149376545633</v>
      </c>
      <c r="C114" s="33">
        <f>-B112*D112*E112</f>
        <v>7920.0746882728163</v>
      </c>
      <c r="D114" s="33">
        <f>-(D112^2)*E112</f>
        <v>-1584.0149376545633</v>
      </c>
      <c r="E114" s="179">
        <v>13</v>
      </c>
      <c r="F114" s="35">
        <v>16</v>
      </c>
      <c r="G114" s="39" t="s">
        <v>164</v>
      </c>
      <c r="H114" s="36">
        <f>-B112*E112</f>
        <v>-40384.615384615383</v>
      </c>
      <c r="I114" s="36">
        <f>-D112*E112</f>
        <v>8076.9230769230771</v>
      </c>
      <c r="J114" s="36">
        <f>B112*E112</f>
        <v>40384.615384615383</v>
      </c>
      <c r="K114" s="40">
        <f>D112*E112</f>
        <v>-8076.9230769230771</v>
      </c>
      <c r="L114" s="34"/>
      <c r="M114" s="37">
        <f>G16</f>
        <v>2.7572552092814369</v>
      </c>
      <c r="N114" s="41" t="s">
        <v>57</v>
      </c>
      <c r="O114" s="42">
        <f>H114*M113+I114*M114+J114*M115+K114*M116</f>
        <v>-3168.0208237951811</v>
      </c>
      <c r="AR114" s="30">
        <f>F114</f>
        <v>16</v>
      </c>
      <c r="AS114" s="30">
        <f>AR114*1000+AS111</f>
        <v>16015</v>
      </c>
      <c r="AT114" s="30">
        <f>AR114*1000+AT111</f>
        <v>16016</v>
      </c>
      <c r="AU114" s="30">
        <f>AR114*1000+AU111</f>
        <v>16009</v>
      </c>
      <c r="AV114" s="30">
        <f>AR114*1000+AV111</f>
        <v>16010</v>
      </c>
    </row>
    <row r="115" spans="1:48" x14ac:dyDescent="0.25">
      <c r="A115" s="32">
        <f>-(B112^2)*E112</f>
        <v>-39600.373441364078</v>
      </c>
      <c r="B115" s="33">
        <f>-B112*D112*E112</f>
        <v>7920.0746882728163</v>
      </c>
      <c r="C115" s="33">
        <f>E112*(B112^2)</f>
        <v>39600.373441364078</v>
      </c>
      <c r="D115" s="33">
        <f>B112*D112*E112</f>
        <v>-7920.0746882728163</v>
      </c>
      <c r="E115" s="34"/>
      <c r="F115" s="35">
        <v>9</v>
      </c>
      <c r="L115" s="34"/>
      <c r="M115" s="37">
        <v>0</v>
      </c>
      <c r="N115" s="38"/>
      <c r="O115" s="33"/>
      <c r="AR115" s="30">
        <f>F115</f>
        <v>9</v>
      </c>
      <c r="AS115" s="30">
        <f>AR115*1000+AS111</f>
        <v>9015</v>
      </c>
      <c r="AT115" s="30">
        <f>AR115*1000+AT111</f>
        <v>9016</v>
      </c>
      <c r="AU115" s="30">
        <f>AR115*1000+AU111</f>
        <v>9009</v>
      </c>
      <c r="AV115" s="30">
        <f>AR115*1000+AV111</f>
        <v>9010</v>
      </c>
    </row>
    <row r="116" spans="1:48" ht="15.75" thickBot="1" x14ac:dyDescent="0.3">
      <c r="A116" s="43">
        <f>-B112*D112*E112</f>
        <v>7920.0746882728163</v>
      </c>
      <c r="B116" s="44">
        <f>-(D112^2)*E112</f>
        <v>-1584.0149376545633</v>
      </c>
      <c r="C116" s="44">
        <f>B112*D112*E112</f>
        <v>-7920.0746882728163</v>
      </c>
      <c r="D116" s="44">
        <f>E112*(D112^2)</f>
        <v>1584.0149376545633</v>
      </c>
      <c r="E116" s="45"/>
      <c r="F116" s="35">
        <v>10</v>
      </c>
      <c r="L116" s="34"/>
      <c r="M116" s="37">
        <v>0</v>
      </c>
      <c r="N116" s="38"/>
      <c r="O116" s="33"/>
      <c r="AR116" s="30">
        <f>F116</f>
        <v>10</v>
      </c>
      <c r="AS116" s="30">
        <f>AR116*1000+AS111</f>
        <v>10015</v>
      </c>
      <c r="AT116" s="30">
        <f>AR116*1000+AT111</f>
        <v>10016</v>
      </c>
      <c r="AU116" s="30">
        <f>AR116*1000+AU111</f>
        <v>10009</v>
      </c>
      <c r="AV116" s="30">
        <f>AR116*1000+AV111</f>
        <v>10010</v>
      </c>
    </row>
    <row r="117" spans="1:48" x14ac:dyDescent="0.25">
      <c r="B117" s="36">
        <v>1</v>
      </c>
      <c r="C117" s="36">
        <v>2</v>
      </c>
      <c r="D117" s="36">
        <v>9</v>
      </c>
      <c r="E117" s="36">
        <v>10</v>
      </c>
      <c r="F117" s="36">
        <v>3</v>
      </c>
      <c r="G117" s="36">
        <v>4</v>
      </c>
      <c r="H117" s="36">
        <v>5</v>
      </c>
      <c r="I117" s="36">
        <v>6</v>
      </c>
      <c r="J117" s="36">
        <v>7</v>
      </c>
      <c r="K117" s="36">
        <v>8</v>
      </c>
      <c r="L117" s="36">
        <v>11</v>
      </c>
      <c r="M117" s="36">
        <v>12</v>
      </c>
      <c r="N117" s="36">
        <v>13</v>
      </c>
      <c r="O117" s="36">
        <v>14</v>
      </c>
      <c r="P117" s="36">
        <v>15</v>
      </c>
      <c r="Q117" s="36">
        <v>16</v>
      </c>
    </row>
    <row r="118" spans="1:48" x14ac:dyDescent="0.25">
      <c r="A118" s="213">
        <v>1</v>
      </c>
      <c r="B118" s="36">
        <f>SUMIF($AS$41:$AV$116,$A$118*1000+B117,$A$41:$D$116)</f>
        <v>24363.645832513415</v>
      </c>
      <c r="C118" s="36">
        <f t="shared" ref="C118:Q118" si="4">SUMIF($AS$41:$AV$116,$A$118*1000+C117,$A$41:$D$116)</f>
        <v>1899.4791666666695</v>
      </c>
      <c r="D118" s="36">
        <f t="shared" si="4"/>
        <v>0</v>
      </c>
      <c r="E118" s="174">
        <f t="shared" si="4"/>
        <v>0</v>
      </c>
      <c r="F118" s="36">
        <f t="shared" si="4"/>
        <v>-14866.249999180069</v>
      </c>
      <c r="G118" s="36">
        <f t="shared" si="4"/>
        <v>0</v>
      </c>
      <c r="H118" s="36">
        <f t="shared" si="4"/>
        <v>0</v>
      </c>
      <c r="I118" s="36">
        <f t="shared" si="4"/>
        <v>0</v>
      </c>
      <c r="J118" s="36">
        <f t="shared" si="4"/>
        <v>0</v>
      </c>
      <c r="K118" s="36">
        <f t="shared" si="4"/>
        <v>0</v>
      </c>
      <c r="L118" s="36">
        <f t="shared" si="4"/>
        <v>-9497.3958333333467</v>
      </c>
      <c r="M118" s="36">
        <f t="shared" si="4"/>
        <v>-1899.4791666666695</v>
      </c>
      <c r="N118" s="36">
        <f t="shared" si="4"/>
        <v>0</v>
      </c>
      <c r="O118" s="36">
        <f t="shared" si="4"/>
        <v>0</v>
      </c>
      <c r="P118" s="36">
        <f t="shared" si="4"/>
        <v>0</v>
      </c>
      <c r="Q118" s="36">
        <f t="shared" si="4"/>
        <v>0</v>
      </c>
      <c r="R118" s="175"/>
      <c r="S118" s="33">
        <v>0</v>
      </c>
      <c r="T118" s="176"/>
      <c r="U118" s="55" t="s">
        <v>58</v>
      </c>
    </row>
    <row r="119" spans="1:48" x14ac:dyDescent="0.25">
      <c r="A119" s="213">
        <v>2</v>
      </c>
      <c r="B119" s="36">
        <f>SUMIF($AS$41:$AV$116,$A$119*1000+B117,$A$41:$D$116)</f>
        <v>1899.4791666666695</v>
      </c>
      <c r="C119" s="36">
        <f t="shared" ref="C119:Q119" si="5">SUMIF($AS$41:$AV$116,$A$119*1000+C117,$A$41:$D$116)</f>
        <v>379.89583333333388</v>
      </c>
      <c r="D119" s="36">
        <f t="shared" si="5"/>
        <v>0</v>
      </c>
      <c r="E119" s="174">
        <f t="shared" si="5"/>
        <v>0</v>
      </c>
      <c r="F119" s="36">
        <f t="shared" si="5"/>
        <v>0</v>
      </c>
      <c r="G119" s="36">
        <f t="shared" si="5"/>
        <v>0</v>
      </c>
      <c r="H119" s="36">
        <f t="shared" si="5"/>
        <v>0</v>
      </c>
      <c r="I119" s="36">
        <f t="shared" si="5"/>
        <v>0</v>
      </c>
      <c r="J119" s="36">
        <f t="shared" si="5"/>
        <v>0</v>
      </c>
      <c r="K119" s="36">
        <f t="shared" si="5"/>
        <v>0</v>
      </c>
      <c r="L119" s="36">
        <f t="shared" si="5"/>
        <v>-1899.4791666666695</v>
      </c>
      <c r="M119" s="36">
        <f t="shared" si="5"/>
        <v>-379.89583333333388</v>
      </c>
      <c r="N119" s="36">
        <f t="shared" si="5"/>
        <v>0</v>
      </c>
      <c r="O119" s="36">
        <f t="shared" si="5"/>
        <v>0</v>
      </c>
      <c r="P119" s="36">
        <f t="shared" si="5"/>
        <v>0</v>
      </c>
      <c r="Q119" s="36">
        <f t="shared" si="5"/>
        <v>0</v>
      </c>
      <c r="R119" s="175"/>
      <c r="S119" s="33">
        <v>0</v>
      </c>
      <c r="T119" s="176"/>
      <c r="U119" s="55" t="s">
        <v>59</v>
      </c>
    </row>
    <row r="120" spans="1:48" x14ac:dyDescent="0.25">
      <c r="A120" s="213">
        <v>9</v>
      </c>
      <c r="B120" s="32">
        <f>SUMIF($AS$41:$AV$116,$A$120*1000+B117,$A$41:$D$116)</f>
        <v>0</v>
      </c>
      <c r="C120" s="33">
        <f t="shared" ref="C120:Q120" si="6">SUMIF($AS$41:$AV$116,$A$120*1000+C117,$A$41:$D$116)</f>
        <v>0</v>
      </c>
      <c r="D120" s="33">
        <f t="shared" si="6"/>
        <v>43823.706775517348</v>
      </c>
      <c r="E120" s="174">
        <f t="shared" si="6"/>
        <v>-7920.0746882728163</v>
      </c>
      <c r="F120" s="33">
        <f t="shared" si="6"/>
        <v>0</v>
      </c>
      <c r="G120" s="33">
        <f t="shared" si="6"/>
        <v>0</v>
      </c>
      <c r="H120" s="33">
        <f t="shared" si="6"/>
        <v>0</v>
      </c>
      <c r="I120" s="33">
        <f t="shared" si="6"/>
        <v>0</v>
      </c>
      <c r="J120" s="33">
        <f t="shared" si="6"/>
        <v>-4223.3333341532716</v>
      </c>
      <c r="K120" s="33">
        <f t="shared" si="6"/>
        <v>0</v>
      </c>
      <c r="L120" s="33">
        <f t="shared" si="6"/>
        <v>0</v>
      </c>
      <c r="M120" s="33">
        <f t="shared" si="6"/>
        <v>0</v>
      </c>
      <c r="N120" s="33">
        <f t="shared" si="6"/>
        <v>0</v>
      </c>
      <c r="O120" s="33">
        <f t="shared" si="6"/>
        <v>0</v>
      </c>
      <c r="P120" s="33">
        <f t="shared" si="6"/>
        <v>-39600.373441364078</v>
      </c>
      <c r="Q120" s="33">
        <f t="shared" si="6"/>
        <v>7920.0746882728163</v>
      </c>
      <c r="R120" s="175"/>
      <c r="S120" s="33">
        <v>0</v>
      </c>
      <c r="T120" s="176"/>
      <c r="U120" s="55" t="s">
        <v>170</v>
      </c>
    </row>
    <row r="121" spans="1:48" ht="15.75" thickBot="1" x14ac:dyDescent="0.3">
      <c r="A121" s="213">
        <v>10</v>
      </c>
      <c r="B121" s="177">
        <f>SUMIF($AS$41:$AV$116,$A$121*1000+B117,$A$41:$D$116)</f>
        <v>0</v>
      </c>
      <c r="C121" s="47">
        <f t="shared" ref="C121:Q121" si="7">SUMIF($AS$41:$AV$116,$A$121*1000+C117,$A$41:$D$116)</f>
        <v>0</v>
      </c>
      <c r="D121" s="47">
        <f t="shared" si="7"/>
        <v>-7920.0746882728163</v>
      </c>
      <c r="E121" s="178">
        <f t="shared" si="7"/>
        <v>1584.0149376545633</v>
      </c>
      <c r="F121" s="47">
        <f t="shared" si="7"/>
        <v>0</v>
      </c>
      <c r="G121" s="47">
        <f t="shared" si="7"/>
        <v>0</v>
      </c>
      <c r="H121" s="47">
        <f t="shared" si="7"/>
        <v>0</v>
      </c>
      <c r="I121" s="47">
        <f t="shared" si="7"/>
        <v>0</v>
      </c>
      <c r="J121" s="47">
        <f t="shared" si="7"/>
        <v>0</v>
      </c>
      <c r="K121" s="47">
        <f t="shared" si="7"/>
        <v>0</v>
      </c>
      <c r="L121" s="47">
        <f t="shared" si="7"/>
        <v>0</v>
      </c>
      <c r="M121" s="47">
        <f t="shared" si="7"/>
        <v>0</v>
      </c>
      <c r="N121" s="47">
        <f t="shared" si="7"/>
        <v>0</v>
      </c>
      <c r="O121" s="47">
        <f t="shared" si="7"/>
        <v>0</v>
      </c>
      <c r="P121" s="47">
        <f t="shared" si="7"/>
        <v>7920.0746882728163</v>
      </c>
      <c r="Q121" s="47">
        <f t="shared" si="7"/>
        <v>-1584.0149376545633</v>
      </c>
      <c r="R121" s="175"/>
      <c r="S121" s="30">
        <v>0</v>
      </c>
      <c r="T121" s="176"/>
      <c r="U121" s="55" t="s">
        <v>60</v>
      </c>
    </row>
    <row r="122" spans="1:48" x14ac:dyDescent="0.25">
      <c r="A122" s="213">
        <v>3</v>
      </c>
      <c r="B122" s="36">
        <f>SUMIF($AS$41:$AV$116,$A$122*1000+B117,$A$41:$D$116)</f>
        <v>-14866.249999180069</v>
      </c>
      <c r="C122" s="36">
        <f t="shared" ref="C122:E122" si="8">SUMIF($AS$41:$AV$116,$A$122*1000+C117,$A$41:$D$116)</f>
        <v>0</v>
      </c>
      <c r="D122" s="36">
        <f t="shared" si="8"/>
        <v>0</v>
      </c>
      <c r="E122" s="174">
        <f t="shared" si="8"/>
        <v>0</v>
      </c>
      <c r="F122" s="219">
        <f>C43+A47</f>
        <v>29720.833331125832</v>
      </c>
      <c r="G122" s="36">
        <v>0</v>
      </c>
      <c r="H122" s="36">
        <f>C47</f>
        <v>-14854.583331945765</v>
      </c>
      <c r="I122" s="36">
        <v>0</v>
      </c>
      <c r="J122" s="36">
        <v>0</v>
      </c>
      <c r="K122" s="36">
        <v>0</v>
      </c>
      <c r="L122" s="36">
        <f>C77</f>
        <v>0</v>
      </c>
      <c r="M122" s="36">
        <f>D77</f>
        <v>0</v>
      </c>
      <c r="N122" s="36">
        <v>0</v>
      </c>
      <c r="O122" s="36">
        <v>0</v>
      </c>
      <c r="P122" s="36">
        <v>0</v>
      </c>
      <c r="Q122" s="40">
        <v>0</v>
      </c>
      <c r="R122" s="175"/>
      <c r="S122" s="36" t="s">
        <v>61</v>
      </c>
      <c r="T122" s="176"/>
      <c r="U122" s="55">
        <f>U26</f>
        <v>4</v>
      </c>
    </row>
    <row r="123" spans="1:48" x14ac:dyDescent="0.25">
      <c r="A123" s="213">
        <v>4</v>
      </c>
      <c r="B123" s="36">
        <f>SUMIF($AS$41:$AV$116,$A$123*1000+B117,$A$41:$D$116)</f>
        <v>0</v>
      </c>
      <c r="C123" s="36">
        <f t="shared" ref="C123:E123" si="9">SUMIF($AS$41:$AV$116,$A$123*1000+C117,$A$41:$D$116)</f>
        <v>0</v>
      </c>
      <c r="D123" s="36">
        <f t="shared" si="9"/>
        <v>0</v>
      </c>
      <c r="E123" s="174">
        <f t="shared" si="9"/>
        <v>0</v>
      </c>
      <c r="F123" s="36">
        <v>0</v>
      </c>
      <c r="G123" s="219">
        <f>D44+B48+B78</f>
        <v>21000</v>
      </c>
      <c r="H123" s="36">
        <v>0</v>
      </c>
      <c r="I123" s="36">
        <v>0</v>
      </c>
      <c r="J123" s="36">
        <v>0</v>
      </c>
      <c r="K123" s="36">
        <v>0</v>
      </c>
      <c r="L123" s="36">
        <f>C78</f>
        <v>0</v>
      </c>
      <c r="M123" s="36">
        <f>D78</f>
        <v>-21000</v>
      </c>
      <c r="N123" s="36">
        <v>0</v>
      </c>
      <c r="O123" s="36">
        <v>0</v>
      </c>
      <c r="P123" s="36">
        <v>0</v>
      </c>
      <c r="Q123" s="40">
        <v>0</v>
      </c>
      <c r="R123" s="175"/>
      <c r="S123" s="36" t="s">
        <v>146</v>
      </c>
      <c r="T123" s="176"/>
      <c r="U123" s="55">
        <f>T27</f>
        <v>5</v>
      </c>
    </row>
    <row r="124" spans="1:48" x14ac:dyDescent="0.25">
      <c r="A124" s="213">
        <v>5</v>
      </c>
      <c r="B124" s="36">
        <f>SUMIF($AS$41:$AV$116,$A$124*1000+B117,$A$41:$D$116)</f>
        <v>0</v>
      </c>
      <c r="C124" s="36">
        <f t="shared" ref="C124:E124" si="10">SUMIF($AS$41:$AV$116,$A$124*1000+C117,$A$41:$D$116)</f>
        <v>0</v>
      </c>
      <c r="D124" s="36">
        <f t="shared" si="10"/>
        <v>0</v>
      </c>
      <c r="E124" s="174">
        <f t="shared" si="10"/>
        <v>0</v>
      </c>
      <c r="F124" s="36">
        <f>A49</f>
        <v>-14854.583331945765</v>
      </c>
      <c r="G124" s="36">
        <v>0</v>
      </c>
      <c r="H124" s="219">
        <f>C49+A53+A83+C103+A107</f>
        <v>37376.298075535517</v>
      </c>
      <c r="I124" s="36">
        <f>D49+B53+B83+D103+B107</f>
        <v>-39.262820512819189</v>
      </c>
      <c r="J124" s="36">
        <f>C53</f>
        <v>-4200</v>
      </c>
      <c r="K124" s="36">
        <v>0</v>
      </c>
      <c r="L124" s="36">
        <f>A103</f>
        <v>-9259.0144230769238</v>
      </c>
      <c r="M124" s="36">
        <f>B103</f>
        <v>1851.802884615385</v>
      </c>
      <c r="N124" s="36">
        <f>C84</f>
        <v>0</v>
      </c>
      <c r="O124" s="36">
        <f>D83</f>
        <v>0</v>
      </c>
      <c r="P124" s="36">
        <f>C107</f>
        <v>-9062.7003205128276</v>
      </c>
      <c r="Q124" s="40">
        <f>D107</f>
        <v>-1812.5400641025658</v>
      </c>
      <c r="R124" s="175"/>
      <c r="S124" s="36" t="s">
        <v>62</v>
      </c>
      <c r="T124" s="176"/>
      <c r="U124" s="55">
        <f>U27</f>
        <v>0</v>
      </c>
    </row>
    <row r="125" spans="1:48" ht="21" x14ac:dyDescent="0.35">
      <c r="A125" s="213">
        <v>6</v>
      </c>
      <c r="B125" s="36">
        <f>SUMIF($AS$41:$AV$116,$A$125*1000+B117,$A$41:$D$116)</f>
        <v>0</v>
      </c>
      <c r="C125" s="36">
        <f t="shared" ref="C125:E125" si="11">SUMIF($AS$41:$AV$116,$A$125*1000+C117,$A$41:$D$116)</f>
        <v>0</v>
      </c>
      <c r="D125" s="36">
        <f t="shared" si="11"/>
        <v>0</v>
      </c>
      <c r="E125" s="174">
        <f t="shared" si="11"/>
        <v>0</v>
      </c>
      <c r="F125" s="36">
        <v>0</v>
      </c>
      <c r="G125" s="36">
        <v>0</v>
      </c>
      <c r="H125" s="36">
        <f>C50+A54+A84+C104+A108</f>
        <v>-39.262820512819189</v>
      </c>
      <c r="I125" s="219">
        <f>D50+B54+B84+D104+B108</f>
        <v>21732.86858974359</v>
      </c>
      <c r="J125" s="36">
        <v>0</v>
      </c>
      <c r="K125" s="36">
        <v>0</v>
      </c>
      <c r="L125" s="36">
        <f>A104</f>
        <v>1851.802884615385</v>
      </c>
      <c r="M125" s="36">
        <f>B104</f>
        <v>-370.36057692307702</v>
      </c>
      <c r="N125" s="36">
        <f>C85</f>
        <v>0</v>
      </c>
      <c r="O125" s="36">
        <f>D84</f>
        <v>-21000</v>
      </c>
      <c r="P125" s="36">
        <f>C108</f>
        <v>-1812.5400641025658</v>
      </c>
      <c r="Q125" s="40">
        <f>D108</f>
        <v>-362.50801282051316</v>
      </c>
      <c r="R125" s="216" t="s">
        <v>145</v>
      </c>
      <c r="S125" s="36" t="s">
        <v>63</v>
      </c>
      <c r="T125" s="214" t="s">
        <v>57</v>
      </c>
      <c r="U125" s="55">
        <f>T28</f>
        <v>0</v>
      </c>
    </row>
    <row r="126" spans="1:48" x14ac:dyDescent="0.25">
      <c r="A126" s="213">
        <v>7</v>
      </c>
      <c r="B126" s="36">
        <f>SUMIF($AS$41:$AV$116,$A$126*1000+B117,$A$41:$D$116)</f>
        <v>0</v>
      </c>
      <c r="C126" s="36">
        <f t="shared" ref="C126:E126" si="12">SUMIF($AS$41:$AV$116,$A$126*1000+C117,$A$41:$D$116)</f>
        <v>0</v>
      </c>
      <c r="D126" s="36">
        <f t="shared" si="12"/>
        <v>-4223.3333341532716</v>
      </c>
      <c r="E126" s="174">
        <f t="shared" si="12"/>
        <v>0</v>
      </c>
      <c r="F126" s="36">
        <v>0</v>
      </c>
      <c r="G126" s="36">
        <v>0</v>
      </c>
      <c r="H126" s="36">
        <f>A55</f>
        <v>-4200</v>
      </c>
      <c r="I126" s="36">
        <v>0</v>
      </c>
      <c r="J126" s="219">
        <f>C55+A59+A89</f>
        <v>8423.3333341532707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f>C89</f>
        <v>0</v>
      </c>
      <c r="Q126" s="40">
        <f>D89</f>
        <v>0</v>
      </c>
      <c r="R126" s="175"/>
      <c r="S126" s="36" t="s">
        <v>101</v>
      </c>
      <c r="T126" s="176"/>
      <c r="U126" s="55">
        <f>U28</f>
        <v>8</v>
      </c>
    </row>
    <row r="127" spans="1:48" x14ac:dyDescent="0.25">
      <c r="A127" s="213">
        <v>8</v>
      </c>
      <c r="B127" s="36">
        <f>SUMIF($AS$41:$AV$116,$A$127*1000+B117,$A$41:$D$116)</f>
        <v>0</v>
      </c>
      <c r="C127" s="36">
        <f t="shared" ref="C127:E127" si="13">SUMIF($AS$41:$AV$116,$A$127*1000+C117,$A$41:$D$116)</f>
        <v>0</v>
      </c>
      <c r="D127" s="36">
        <f t="shared" si="13"/>
        <v>0</v>
      </c>
      <c r="E127" s="174">
        <f t="shared" si="13"/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219">
        <f>D56+B60+B90</f>
        <v>21000</v>
      </c>
      <c r="L127" s="36">
        <v>0</v>
      </c>
      <c r="M127" s="36">
        <v>0</v>
      </c>
      <c r="N127" s="36">
        <v>0</v>
      </c>
      <c r="O127" s="36">
        <v>0</v>
      </c>
      <c r="P127" s="36">
        <f>C90</f>
        <v>0</v>
      </c>
      <c r="Q127" s="40">
        <f>D90</f>
        <v>-21000</v>
      </c>
      <c r="R127" s="175"/>
      <c r="S127" s="36" t="s">
        <v>102</v>
      </c>
      <c r="T127" s="176"/>
      <c r="U127" s="55">
        <f>T29</f>
        <v>9</v>
      </c>
    </row>
    <row r="128" spans="1:48" x14ac:dyDescent="0.25">
      <c r="A128" s="213">
        <v>11</v>
      </c>
      <c r="B128" s="36">
        <f>SUMIF($AS$41:$AV$116,$A$128*1000+B117,$A$41:$D$116)</f>
        <v>-9497.3958333333467</v>
      </c>
      <c r="C128" s="36">
        <f t="shared" ref="C128:E128" si="14">SUMIF($AS$41:$AV$116,$A$128*1000+C117,$A$41:$D$116)</f>
        <v>-1899.4791666666695</v>
      </c>
      <c r="D128" s="36">
        <f t="shared" si="14"/>
        <v>0</v>
      </c>
      <c r="E128" s="218">
        <f t="shared" si="14"/>
        <v>0</v>
      </c>
      <c r="F128" s="36">
        <v>0</v>
      </c>
      <c r="G128" s="36">
        <v>0</v>
      </c>
      <c r="H128" s="36">
        <f>C101</f>
        <v>-9259.0144230769238</v>
      </c>
      <c r="I128" s="36">
        <f>D101</f>
        <v>1851.802884615385</v>
      </c>
      <c r="J128" s="36">
        <v>0</v>
      </c>
      <c r="K128" s="36">
        <v>0</v>
      </c>
      <c r="L128" s="219">
        <f>A65+C79+C97+A101</f>
        <v>38230.993589743615</v>
      </c>
      <c r="M128" s="36">
        <f>B65+D79+D97+B101</f>
        <v>47.676282051284488</v>
      </c>
      <c r="N128" s="36">
        <f>C65</f>
        <v>-19474.583333333347</v>
      </c>
      <c r="O128" s="36">
        <v>0</v>
      </c>
      <c r="P128" s="36">
        <v>0</v>
      </c>
      <c r="Q128" s="36">
        <v>0</v>
      </c>
      <c r="R128" s="175"/>
      <c r="S128" s="36" t="s">
        <v>105</v>
      </c>
      <c r="T128" s="176"/>
      <c r="U128" s="55">
        <f>T30</f>
        <v>11</v>
      </c>
    </row>
    <row r="129" spans="1:21" x14ac:dyDescent="0.25">
      <c r="A129" s="213">
        <v>12</v>
      </c>
      <c r="B129" s="36">
        <f>SUMIF($AS$41:$AV$116,$A$129*1000+B117,$A$41:$D$116)</f>
        <v>-1899.4791666666695</v>
      </c>
      <c r="C129" s="36">
        <f t="shared" ref="C129:E129" si="15">SUMIF($AS$41:$AV$116,$A$129*1000+C117,$A$41:$D$116)</f>
        <v>-379.89583333333388</v>
      </c>
      <c r="D129" s="36">
        <f t="shared" si="15"/>
        <v>0</v>
      </c>
      <c r="E129" s="174">
        <f t="shared" si="15"/>
        <v>0</v>
      </c>
      <c r="F129" s="36">
        <v>0</v>
      </c>
      <c r="G129" s="36">
        <f>B80</f>
        <v>-21000</v>
      </c>
      <c r="H129" s="36">
        <f>C102</f>
        <v>1851.802884615385</v>
      </c>
      <c r="I129" s="36">
        <f>D102</f>
        <v>-370.36057692307702</v>
      </c>
      <c r="J129" s="36">
        <v>0</v>
      </c>
      <c r="K129" s="36">
        <v>0</v>
      </c>
      <c r="L129" s="36">
        <f>A66+C80+C98+A102</f>
        <v>47.676282051284261</v>
      </c>
      <c r="M129" s="219">
        <f>B66+D80+D98+B102</f>
        <v>21750.25641025641</v>
      </c>
      <c r="N129" s="36">
        <v>0</v>
      </c>
      <c r="O129" s="36">
        <v>0</v>
      </c>
      <c r="P129" s="36">
        <v>0</v>
      </c>
      <c r="Q129" s="36">
        <v>0</v>
      </c>
      <c r="R129" s="175"/>
      <c r="S129" s="36" t="s">
        <v>106</v>
      </c>
      <c r="T129" s="176"/>
      <c r="U129" s="55">
        <f>U30</f>
        <v>12</v>
      </c>
    </row>
    <row r="130" spans="1:21" x14ac:dyDescent="0.25">
      <c r="A130" s="213">
        <v>13</v>
      </c>
      <c r="B130" s="36">
        <f>SUMIF($AS$41:$AV$116,$A$130*1000+B117,$A$41:$D$116)</f>
        <v>0</v>
      </c>
      <c r="C130" s="36">
        <f t="shared" ref="C130:E130" si="16">SUMIF($AS$41:$AV$116,$A$130*1000+C117,$A$41:$D$116)</f>
        <v>0</v>
      </c>
      <c r="D130" s="36">
        <f t="shared" si="16"/>
        <v>0</v>
      </c>
      <c r="E130" s="174">
        <f t="shared" si="16"/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f>A67</f>
        <v>-19474.583333333347</v>
      </c>
      <c r="M130" s="36">
        <v>0</v>
      </c>
      <c r="N130" s="219">
        <f>C67+A71+C85</f>
        <v>37916.666666666657</v>
      </c>
      <c r="O130" s="36">
        <v>0</v>
      </c>
      <c r="P130" s="36">
        <f>C71</f>
        <v>-18442.083333333307</v>
      </c>
      <c r="Q130" s="36">
        <v>0</v>
      </c>
      <c r="R130" s="175"/>
      <c r="S130" s="36" t="s">
        <v>147</v>
      </c>
      <c r="T130" s="176"/>
      <c r="U130" s="55">
        <f>T31</f>
        <v>13000</v>
      </c>
    </row>
    <row r="131" spans="1:21" x14ac:dyDescent="0.25">
      <c r="A131" s="213">
        <v>14</v>
      </c>
      <c r="B131" s="36">
        <f>SUMIF($AS$41:$AV$116,$A$131*1000+B117,$A$41:$D$116)</f>
        <v>0</v>
      </c>
      <c r="C131" s="36">
        <f t="shared" ref="C131:E131" si="17">SUMIF($AS$41:$AV$116,$A$131*1000+C117,$A$41:$D$116)</f>
        <v>0</v>
      </c>
      <c r="D131" s="36">
        <f t="shared" si="17"/>
        <v>0</v>
      </c>
      <c r="E131" s="174">
        <f t="shared" si="17"/>
        <v>0</v>
      </c>
      <c r="F131" s="36">
        <v>0</v>
      </c>
      <c r="G131" s="36">
        <v>0</v>
      </c>
      <c r="H131" s="36">
        <v>0</v>
      </c>
      <c r="I131" s="36">
        <f>B86</f>
        <v>-21000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219">
        <f>D68+B72+D86</f>
        <v>21000</v>
      </c>
      <c r="P131" s="36">
        <v>0</v>
      </c>
      <c r="Q131" s="36">
        <v>0</v>
      </c>
      <c r="R131" s="175"/>
      <c r="S131" s="36" t="s">
        <v>148</v>
      </c>
      <c r="T131" s="176"/>
      <c r="U131" s="55">
        <f>U31</f>
        <v>14</v>
      </c>
    </row>
    <row r="132" spans="1:21" x14ac:dyDescent="0.25">
      <c r="A132" s="213">
        <v>15</v>
      </c>
      <c r="B132" s="36">
        <f>SUMIF($AS$41:$AV$116,$A$132*1000+B117,$A$41:$D$116)</f>
        <v>0</v>
      </c>
      <c r="C132" s="36">
        <f t="shared" ref="C132:E132" si="18">SUMIF($AS$41:$AV$116,$A$132*1000+C117,$A$41:$D$116)</f>
        <v>0</v>
      </c>
      <c r="D132" s="36">
        <f t="shared" si="18"/>
        <v>-39600.373441364078</v>
      </c>
      <c r="E132" s="174">
        <f t="shared" si="18"/>
        <v>7920.0746882728163</v>
      </c>
      <c r="F132" s="36">
        <v>0</v>
      </c>
      <c r="G132" s="36">
        <v>0</v>
      </c>
      <c r="H132" s="36">
        <f>A109</f>
        <v>-9062.7003205128276</v>
      </c>
      <c r="I132" s="36">
        <f>B109</f>
        <v>-1812.5400641025658</v>
      </c>
      <c r="J132" s="36">
        <v>0</v>
      </c>
      <c r="K132" s="36">
        <v>0</v>
      </c>
      <c r="L132" s="36">
        <v>0</v>
      </c>
      <c r="M132" s="36">
        <v>0</v>
      </c>
      <c r="N132" s="36">
        <f>A73</f>
        <v>-18442.083333333307</v>
      </c>
      <c r="O132" s="36">
        <v>0</v>
      </c>
      <c r="P132" s="219">
        <f>C73+C91+C109+A113</f>
        <v>67105.157095210219</v>
      </c>
      <c r="Q132" s="36">
        <f>D91+D73+D109+B113</f>
        <v>-6107.53462417025</v>
      </c>
      <c r="R132" s="175"/>
      <c r="S132" s="36" t="s">
        <v>149</v>
      </c>
      <c r="T132" s="176"/>
      <c r="U132" s="55">
        <f>T32</f>
        <v>15</v>
      </c>
    </row>
    <row r="133" spans="1:21" x14ac:dyDescent="0.25">
      <c r="A133" s="213">
        <v>16</v>
      </c>
      <c r="B133" s="36">
        <f>SUMIF($AS$41:$AV$116,$A$133*1000+B117,$A$41:$D$116)</f>
        <v>0</v>
      </c>
      <c r="C133" s="36">
        <f t="shared" ref="C133:E133" si="19">SUMIF($AS$41:$AV$116,$A$133*1000+C117,$A$41:$D$116)</f>
        <v>0</v>
      </c>
      <c r="D133" s="36">
        <f t="shared" si="19"/>
        <v>7920.0746882728163</v>
      </c>
      <c r="E133" s="174">
        <f t="shared" si="19"/>
        <v>-1584.0149376545633</v>
      </c>
      <c r="F133" s="36">
        <v>0</v>
      </c>
      <c r="G133" s="36">
        <v>0</v>
      </c>
      <c r="H133" s="36">
        <f>A110</f>
        <v>-1812.5400641025658</v>
      </c>
      <c r="I133" s="36">
        <f>B110</f>
        <v>-362.50801282051316</v>
      </c>
      <c r="J133" s="36">
        <v>0</v>
      </c>
      <c r="K133" s="36">
        <f>B92</f>
        <v>-21000</v>
      </c>
      <c r="L133" s="36">
        <v>0</v>
      </c>
      <c r="M133" s="36">
        <v>0</v>
      </c>
      <c r="N133" s="36">
        <v>0</v>
      </c>
      <c r="O133" s="36">
        <v>0</v>
      </c>
      <c r="P133" s="36">
        <f>C92+C74+C110+A114</f>
        <v>-6107.5346241702518</v>
      </c>
      <c r="Q133" s="219">
        <f>D74+D92+D110+B114</f>
        <v>22946.522950475075</v>
      </c>
      <c r="R133" s="175"/>
      <c r="S133" s="36" t="s">
        <v>150</v>
      </c>
      <c r="T133" s="176"/>
      <c r="U133" s="55">
        <f>U32</f>
        <v>16</v>
      </c>
    </row>
    <row r="135" spans="1:21" x14ac:dyDescent="0.25">
      <c r="D135" s="34"/>
      <c r="E135" s="40" t="s">
        <v>61</v>
      </c>
      <c r="F135" s="176"/>
      <c r="G135" s="37">
        <f>G5</f>
        <v>0.34285714285714275</v>
      </c>
    </row>
    <row r="136" spans="1:21" x14ac:dyDescent="0.25">
      <c r="D136" s="34"/>
      <c r="E136" s="40" t="s">
        <v>146</v>
      </c>
      <c r="F136" s="176"/>
      <c r="G136" s="37">
        <f>G6</f>
        <v>-1.3663911207989345</v>
      </c>
    </row>
    <row r="137" spans="1:21" x14ac:dyDescent="0.25">
      <c r="D137" s="34"/>
      <c r="E137" s="40" t="s">
        <v>62</v>
      </c>
      <c r="F137" s="176"/>
      <c r="G137" s="37">
        <f t="shared" ref="G137:G146" si="20">G7</f>
        <v>0.68571428573925297</v>
      </c>
    </row>
    <row r="138" spans="1:21" x14ac:dyDescent="0.25">
      <c r="D138" s="34"/>
      <c r="E138" s="40" t="s">
        <v>63</v>
      </c>
      <c r="F138" s="176"/>
      <c r="G138" s="37">
        <f t="shared" si="20"/>
        <v>0.69531299662220414</v>
      </c>
    </row>
    <row r="139" spans="1:21" ht="21" x14ac:dyDescent="0.35">
      <c r="D139" s="34"/>
      <c r="E139" s="40" t="s">
        <v>101</v>
      </c>
      <c r="F139" s="214" t="s">
        <v>57</v>
      </c>
      <c r="G139" s="37">
        <f t="shared" si="20"/>
        <v>0.34285714285714286</v>
      </c>
    </row>
    <row r="140" spans="1:21" x14ac:dyDescent="0.25">
      <c r="D140" s="34"/>
      <c r="E140" s="40" t="s">
        <v>102</v>
      </c>
      <c r="F140" s="176"/>
      <c r="G140" s="37">
        <f t="shared" si="20"/>
        <v>2.7576837807100083</v>
      </c>
      <c r="H140" s="176"/>
      <c r="I140" s="55" t="s">
        <v>58</v>
      </c>
      <c r="J140" s="176"/>
      <c r="K140" s="55" t="e">
        <f>ROUND(INDEX(MMULT(E118:Q120,G135:G147),1,1)-T25,3)</f>
        <v>#VALUE!</v>
      </c>
    </row>
    <row r="141" spans="1:21" ht="21" x14ac:dyDescent="0.35">
      <c r="D141" s="34"/>
      <c r="E141" s="40" t="s">
        <v>105</v>
      </c>
      <c r="F141" s="176"/>
      <c r="G141" s="37">
        <f t="shared" si="20"/>
        <v>0.62989727177883459</v>
      </c>
      <c r="H141" s="176"/>
      <c r="I141" s="55" t="s">
        <v>59</v>
      </c>
      <c r="J141" s="214" t="s">
        <v>57</v>
      </c>
      <c r="K141" s="55" t="e">
        <f>ROUND(INDEX(MMULT(E118:Q120,G135:G147),2,1)-U25,3)</f>
        <v>#VALUE!</v>
      </c>
    </row>
    <row r="142" spans="1:21" x14ac:dyDescent="0.25">
      <c r="D142" s="34"/>
      <c r="E142" s="40" t="s">
        <v>106</v>
      </c>
      <c r="F142" s="176"/>
      <c r="G142" s="37">
        <f t="shared" si="20"/>
        <v>-1.3666292160370299</v>
      </c>
      <c r="H142" s="176"/>
      <c r="I142" s="55" t="s">
        <v>60</v>
      </c>
      <c r="J142" s="176"/>
      <c r="K142" s="55" t="e">
        <f>ROUND(INDEX(MMULT(E118:Q120,G135:G147),3,1)-U29,3)</f>
        <v>#VALUE!</v>
      </c>
    </row>
    <row r="143" spans="1:21" x14ac:dyDescent="0.25">
      <c r="D143" s="34"/>
      <c r="E143" s="40" t="s">
        <v>147</v>
      </c>
      <c r="F143" s="176"/>
      <c r="G143" s="37">
        <f t="shared" si="20"/>
        <v>0.97275441463597756</v>
      </c>
    </row>
    <row r="144" spans="1:21" x14ac:dyDescent="0.25">
      <c r="D144" s="34"/>
      <c r="E144" s="40" t="s">
        <v>148</v>
      </c>
      <c r="F144" s="176"/>
      <c r="G144" s="37">
        <f t="shared" si="20"/>
        <v>0.69597966328887084</v>
      </c>
    </row>
    <row r="145" spans="2:12" x14ac:dyDescent="0.25">
      <c r="D145" s="34"/>
      <c r="E145" s="40" t="s">
        <v>149</v>
      </c>
      <c r="F145" s="176"/>
      <c r="G145" s="37">
        <f t="shared" si="20"/>
        <v>0.62989727177883481</v>
      </c>
    </row>
    <row r="146" spans="2:12" x14ac:dyDescent="0.25">
      <c r="D146" s="34"/>
      <c r="E146" s="40" t="s">
        <v>150</v>
      </c>
      <c r="F146" s="176"/>
      <c r="G146" s="37">
        <f t="shared" si="20"/>
        <v>2.7572552092814369</v>
      </c>
    </row>
    <row r="147" spans="2:12" x14ac:dyDescent="0.25">
      <c r="D147" s="31"/>
      <c r="E147" s="31"/>
      <c r="F147" s="31"/>
      <c r="G147" s="217"/>
      <c r="H147" s="31"/>
    </row>
    <row r="148" spans="2:12" ht="15.75" thickBot="1" x14ac:dyDescent="0.3">
      <c r="E148" s="31"/>
      <c r="F148" s="31"/>
    </row>
    <row r="149" spans="2:12" ht="15.75" thickBot="1" x14ac:dyDescent="0.3">
      <c r="B149" s="236" t="s">
        <v>131</v>
      </c>
      <c r="C149" s="237"/>
      <c r="D149" s="237"/>
      <c r="E149" s="238"/>
    </row>
    <row r="150" spans="2:12" ht="15.75" thickBot="1" x14ac:dyDescent="0.3">
      <c r="B150" s="235" t="s">
        <v>151</v>
      </c>
      <c r="C150" s="235"/>
      <c r="D150" s="235"/>
      <c r="E150" s="204">
        <f>F122*$G$5+G122*$G$6+H122*$G$7+I122*$G$8+J122*$G$9+K122*$G$10+L122*$G$11+M122*$G$12+N122*$G$13+O122*$G$14+P122*$G$15+Q122*$G$16-U122</f>
        <v>-1.7626371118240058E-7</v>
      </c>
    </row>
    <row r="151" spans="2:12" ht="15.75" thickBot="1" x14ac:dyDescent="0.3">
      <c r="B151" s="235" t="s">
        <v>152</v>
      </c>
      <c r="C151" s="235"/>
      <c r="D151" s="235"/>
      <c r="E151" s="204">
        <f t="shared" ref="E151:E161" si="21">F123*$G$5+G123*$G$6+H123*$G$7+I123*$G$8+J123*$G$9+K123*$G$10+L123*$G$11+M123*$G$12+N123*$G$13+O123*$G$14+P123*$G$15+Q123*$G$16-U123</f>
        <v>3.637978807091713E-12</v>
      </c>
    </row>
    <row r="152" spans="2:12" ht="15.75" thickBot="1" x14ac:dyDescent="0.3">
      <c r="B152" s="235" t="s">
        <v>110</v>
      </c>
      <c r="C152" s="235"/>
      <c r="D152" s="235"/>
      <c r="E152" s="204">
        <f t="shared" si="21"/>
        <v>1.8189894035458565E-12</v>
      </c>
    </row>
    <row r="153" spans="2:12" ht="15.75" thickBot="1" x14ac:dyDescent="0.3">
      <c r="B153" s="235" t="s">
        <v>111</v>
      </c>
      <c r="C153" s="235"/>
      <c r="D153" s="235"/>
      <c r="E153" s="204">
        <f t="shared" si="21"/>
        <v>-1.1368683772161603E-12</v>
      </c>
    </row>
    <row r="154" spans="2:12" ht="15.75" thickBot="1" x14ac:dyDescent="0.3">
      <c r="B154" s="235" t="s">
        <v>112</v>
      </c>
      <c r="C154" s="235"/>
      <c r="D154" s="235"/>
      <c r="E154" s="204">
        <f t="shared" si="21"/>
        <v>1.7625916370889172E-7</v>
      </c>
    </row>
    <row r="155" spans="2:12" ht="15.75" thickBot="1" x14ac:dyDescent="0.3">
      <c r="B155" s="235" t="s">
        <v>113</v>
      </c>
      <c r="C155" s="235"/>
      <c r="D155" s="235"/>
      <c r="E155" s="204">
        <f t="shared" si="21"/>
        <v>7.2759576141834259E-12</v>
      </c>
      <c r="H155" s="31"/>
      <c r="I155" s="31"/>
      <c r="J155" s="31"/>
      <c r="K155" s="31"/>
      <c r="L155" s="31"/>
    </row>
    <row r="156" spans="2:12" ht="15.75" thickBot="1" x14ac:dyDescent="0.3">
      <c r="B156" s="275" t="s">
        <v>116</v>
      </c>
      <c r="C156" s="275"/>
      <c r="D156" s="275"/>
      <c r="E156" s="204">
        <f t="shared" si="21"/>
        <v>-3.637978807091713E-12</v>
      </c>
      <c r="H156" s="31"/>
      <c r="I156" s="31"/>
      <c r="J156" s="31"/>
      <c r="K156" s="31"/>
      <c r="L156" s="31"/>
    </row>
    <row r="157" spans="2:12" ht="15.75" thickBot="1" x14ac:dyDescent="0.3">
      <c r="B157" s="235" t="s">
        <v>117</v>
      </c>
      <c r="C157" s="235"/>
      <c r="D157" s="235"/>
      <c r="E157" s="204">
        <f t="shared" si="21"/>
        <v>-3.637978807091713E-12</v>
      </c>
      <c r="H157" s="31"/>
      <c r="I157" s="31"/>
      <c r="J157" s="31"/>
      <c r="K157" s="31"/>
      <c r="L157" s="31"/>
    </row>
    <row r="158" spans="2:12" ht="15.75" thickBot="1" x14ac:dyDescent="0.3">
      <c r="B158" s="235" t="s">
        <v>153</v>
      </c>
      <c r="C158" s="235"/>
      <c r="D158" s="235"/>
      <c r="E158" s="204">
        <f t="shared" si="21"/>
        <v>0</v>
      </c>
      <c r="H158" s="31"/>
      <c r="I158" s="31"/>
      <c r="J158" s="31"/>
      <c r="K158" s="31"/>
      <c r="L158" s="31"/>
    </row>
    <row r="159" spans="2:12" ht="15.75" thickBot="1" x14ac:dyDescent="0.3">
      <c r="B159" s="235" t="s">
        <v>154</v>
      </c>
      <c r="C159" s="235"/>
      <c r="D159" s="235"/>
      <c r="E159" s="204">
        <f t="shared" si="21"/>
        <v>0</v>
      </c>
      <c r="H159" s="31"/>
      <c r="I159" s="31"/>
      <c r="J159" s="31"/>
      <c r="K159" s="31"/>
      <c r="L159" s="31"/>
    </row>
    <row r="160" spans="2:12" ht="15.75" thickBot="1" x14ac:dyDescent="0.3">
      <c r="B160" s="235" t="s">
        <v>155</v>
      </c>
      <c r="C160" s="235"/>
      <c r="D160" s="235"/>
      <c r="E160" s="204">
        <f t="shared" si="21"/>
        <v>3.637978807091713E-12</v>
      </c>
      <c r="H160" s="31"/>
      <c r="I160" s="31"/>
      <c r="J160" s="31"/>
      <c r="K160" s="31"/>
      <c r="L160" s="31"/>
    </row>
    <row r="161" spans="2:12" ht="15.75" thickBot="1" x14ac:dyDescent="0.3">
      <c r="B161" s="235" t="s">
        <v>156</v>
      </c>
      <c r="C161" s="235"/>
      <c r="D161" s="235"/>
      <c r="E161" s="204">
        <f t="shared" si="21"/>
        <v>-7.2759576141834259E-12</v>
      </c>
      <c r="H161" s="31"/>
      <c r="I161" s="31"/>
      <c r="J161" s="31"/>
      <c r="K161" s="31"/>
      <c r="L161" s="31"/>
    </row>
    <row r="162" spans="2:12" x14ac:dyDescent="0.25">
      <c r="B162" s="270"/>
      <c r="C162" s="270"/>
      <c r="D162" s="270"/>
      <c r="E162" s="210"/>
      <c r="F162" s="31"/>
      <c r="H162" s="31"/>
      <c r="I162" s="31"/>
      <c r="J162" s="31"/>
      <c r="K162" s="31"/>
      <c r="L162" s="31"/>
    </row>
    <row r="163" spans="2:12" x14ac:dyDescent="0.25">
      <c r="B163" s="269"/>
      <c r="C163" s="269"/>
      <c r="D163" s="269"/>
      <c r="H163" s="31"/>
      <c r="I163" s="31"/>
      <c r="J163" s="31"/>
      <c r="K163" s="31"/>
      <c r="L163" s="31"/>
    </row>
    <row r="164" spans="2:12" x14ac:dyDescent="0.25">
      <c r="B164" s="184"/>
      <c r="C164" s="184"/>
      <c r="D164" s="184"/>
      <c r="H164" s="31"/>
      <c r="I164" s="31"/>
      <c r="J164" s="31"/>
      <c r="K164" s="31"/>
      <c r="L164" s="31"/>
    </row>
    <row r="165" spans="2:12" x14ac:dyDescent="0.25">
      <c r="H165" s="31"/>
      <c r="I165" s="31"/>
      <c r="J165" s="31"/>
      <c r="K165" s="31"/>
      <c r="L165" s="31"/>
    </row>
    <row r="166" spans="2:12" x14ac:dyDescent="0.25">
      <c r="H166" s="31"/>
      <c r="I166" s="31"/>
      <c r="J166" s="31"/>
      <c r="K166" s="31"/>
      <c r="L166" s="31"/>
    </row>
    <row r="167" spans="2:12" x14ac:dyDescent="0.25">
      <c r="H167" s="31"/>
      <c r="I167" s="31"/>
      <c r="J167" s="31"/>
      <c r="K167" s="31"/>
      <c r="L167" s="31"/>
    </row>
    <row r="168" spans="2:12" x14ac:dyDescent="0.25">
      <c r="H168" s="31"/>
      <c r="I168" s="31"/>
      <c r="J168" s="31"/>
      <c r="K168" s="31"/>
      <c r="L168" s="31"/>
    </row>
  </sheetData>
  <mergeCells count="29">
    <mergeCell ref="A1:D1"/>
    <mergeCell ref="A2:C2"/>
    <mergeCell ref="X21:AA21"/>
    <mergeCell ref="B23:B24"/>
    <mergeCell ref="C23:C24"/>
    <mergeCell ref="D23:E23"/>
    <mergeCell ref="F23:G23"/>
    <mergeCell ref="H23:H24"/>
    <mergeCell ref="I23:I24"/>
    <mergeCell ref="J23:J24"/>
    <mergeCell ref="E1:I2"/>
    <mergeCell ref="K23:K24"/>
    <mergeCell ref="L23:L24"/>
    <mergeCell ref="O23:O24"/>
    <mergeCell ref="B149:E149"/>
    <mergeCell ref="B150:D150"/>
    <mergeCell ref="B152:D152"/>
    <mergeCell ref="B153:D153"/>
    <mergeCell ref="B151:D151"/>
    <mergeCell ref="B154:D154"/>
    <mergeCell ref="B155:D155"/>
    <mergeCell ref="B156:D156"/>
    <mergeCell ref="B163:D163"/>
    <mergeCell ref="B157:D157"/>
    <mergeCell ref="B158:D158"/>
    <mergeCell ref="B159:D159"/>
    <mergeCell ref="B160:D160"/>
    <mergeCell ref="B161:D161"/>
    <mergeCell ref="B162:D162"/>
  </mergeCells>
  <conditionalFormatting sqref="N36">
    <cfRule type="cellIs" dxfId="65" priority="66" operator="equal">
      <formula>IF($L$36&gt;$M$36,$N$36)</formula>
    </cfRule>
  </conditionalFormatting>
  <conditionalFormatting sqref="N37">
    <cfRule type="cellIs" dxfId="64" priority="65" operator="equal">
      <formula>IF($L$37&gt;$M$37,$N$37)</formula>
    </cfRule>
  </conditionalFormatting>
  <conditionalFormatting sqref="N25">
    <cfRule type="cellIs" dxfId="63" priority="64" operator="equal">
      <formula>IF($L$25&gt;$M$25,$N$25)</formula>
    </cfRule>
  </conditionalFormatting>
  <conditionalFormatting sqref="N26">
    <cfRule type="cellIs" dxfId="62" priority="63" operator="equal">
      <formula>IF($L$26&gt;$M$26,$N$26)</formula>
    </cfRule>
  </conditionalFormatting>
  <conditionalFormatting sqref="N27">
    <cfRule type="cellIs" dxfId="61" priority="62" operator="equal">
      <formula>IF($L$27&gt;$M$27,$N$27)</formula>
    </cfRule>
  </conditionalFormatting>
  <conditionalFormatting sqref="N28">
    <cfRule type="cellIs" dxfId="60" priority="61" operator="equal">
      <formula>IF($L$28&gt;$M$28,$N$28)</formula>
    </cfRule>
  </conditionalFormatting>
  <conditionalFormatting sqref="N29">
    <cfRule type="cellIs" dxfId="59" priority="60" operator="equal">
      <formula>IF($L$29&gt;$M$29,$N$29)</formula>
    </cfRule>
  </conditionalFormatting>
  <conditionalFormatting sqref="N30">
    <cfRule type="cellIs" dxfId="58" priority="59" operator="equal">
      <formula>IF($L$30&gt;$M$30,$N$30)</formula>
    </cfRule>
  </conditionalFormatting>
  <conditionalFormatting sqref="N31">
    <cfRule type="cellIs" dxfId="57" priority="58" operator="equal">
      <formula>IF($L$31&gt;$M$31,$N$31)</formula>
    </cfRule>
  </conditionalFormatting>
  <conditionalFormatting sqref="N32">
    <cfRule type="cellIs" dxfId="56" priority="57" operator="equal">
      <formula>IF($L$32&gt;$M$32,$N$32)</formula>
    </cfRule>
  </conditionalFormatting>
  <conditionalFormatting sqref="N33">
    <cfRule type="cellIs" dxfId="55" priority="56" operator="equal">
      <formula>IF($L$33&gt;$M$33,$N$33)</formula>
    </cfRule>
  </conditionalFormatting>
  <conditionalFormatting sqref="N34">
    <cfRule type="cellIs" dxfId="54" priority="55" operator="equal">
      <formula>IF($L$34&gt;$M$34,$N$34)</formula>
    </cfRule>
  </conditionalFormatting>
  <conditionalFormatting sqref="N35">
    <cfRule type="cellIs" dxfId="53" priority="54" operator="equal">
      <formula>IF($L$35&gt;$M$35,$N$35)</formula>
    </cfRule>
  </conditionalFormatting>
  <conditionalFormatting sqref="O25">
    <cfRule type="cellIs" dxfId="52" priority="53" operator="equal">
      <formula>IF($L$25&gt;$M$25,$O$25)</formula>
    </cfRule>
  </conditionalFormatting>
  <conditionalFormatting sqref="O26">
    <cfRule type="cellIs" dxfId="51" priority="52" operator="equal">
      <formula>IF($L$26&gt;$M$26,$O$26)</formula>
    </cfRule>
  </conditionalFormatting>
  <conditionalFormatting sqref="O27">
    <cfRule type="cellIs" dxfId="50" priority="51" operator="equal">
      <formula>IF($L$27&gt;$M$27,$O$27)</formula>
    </cfRule>
  </conditionalFormatting>
  <conditionalFormatting sqref="O28">
    <cfRule type="cellIs" dxfId="49" priority="50" operator="equal">
      <formula>IF($L$28&gt;$M$28,$O$28)</formula>
    </cfRule>
  </conditionalFormatting>
  <conditionalFormatting sqref="O29">
    <cfRule type="cellIs" dxfId="48" priority="49" operator="equal">
      <formula>IF($L$29&gt;$M$29,$O$29)</formula>
    </cfRule>
  </conditionalFormatting>
  <conditionalFormatting sqref="O30">
    <cfRule type="cellIs" dxfId="47" priority="48" operator="equal">
      <formula>IF($L$30&gt;$M$30,$O$30)</formula>
    </cfRule>
  </conditionalFormatting>
  <conditionalFormatting sqref="O31">
    <cfRule type="cellIs" dxfId="46" priority="47" operator="equal">
      <formula>IF($L$31&gt;$M$31,$O$31)</formula>
    </cfRule>
  </conditionalFormatting>
  <conditionalFormatting sqref="O32">
    <cfRule type="cellIs" dxfId="45" priority="46" operator="equal">
      <formula>IF($L$32&gt;$M$32,$O$32)</formula>
    </cfRule>
  </conditionalFormatting>
  <conditionalFormatting sqref="O33">
    <cfRule type="cellIs" dxfId="44" priority="45" operator="equal">
      <formula>IF($L$33&gt;$M$33,$O$33)</formula>
    </cfRule>
  </conditionalFormatting>
  <conditionalFormatting sqref="O34">
    <cfRule type="cellIs" dxfId="43" priority="44" operator="equal">
      <formula>IF($L$34&gt;$M$34,$O$34)</formula>
    </cfRule>
  </conditionalFormatting>
  <conditionalFormatting sqref="O35">
    <cfRule type="cellIs" dxfId="42" priority="43" operator="equal">
      <formula>IF($L$35&gt;$M$35,$O$35)</formula>
    </cfRule>
  </conditionalFormatting>
  <conditionalFormatting sqref="O36">
    <cfRule type="cellIs" dxfId="41" priority="42" operator="equal">
      <formula>IF($L$36&gt;$M$36,$O$36)</formula>
    </cfRule>
  </conditionalFormatting>
  <conditionalFormatting sqref="O37">
    <cfRule type="cellIs" dxfId="40" priority="41" operator="equal">
      <formula>IF($L$37&gt;$M$37,$O$37)</formula>
    </cfRule>
  </conditionalFormatting>
  <conditionalFormatting sqref="K25">
    <cfRule type="cellIs" dxfId="39" priority="38" operator="equal">
      <formula>IF($K$25=0,$K$25,)</formula>
    </cfRule>
    <cfRule type="cellIs" dxfId="38" priority="39" operator="equal">
      <formula>IF($K$25&lt;0,$K$25,)</formula>
    </cfRule>
    <cfRule type="cellIs" dxfId="37" priority="40" operator="equal">
      <formula>IF($K$25&gt;0,$K$25,)</formula>
    </cfRule>
  </conditionalFormatting>
  <conditionalFormatting sqref="K26">
    <cfRule type="cellIs" dxfId="36" priority="35" stopIfTrue="1" operator="equal">
      <formula>IF($K$26=0,$K$26,)</formula>
    </cfRule>
    <cfRule type="cellIs" dxfId="35" priority="36" stopIfTrue="1" operator="equal">
      <formula>IF($K$26&lt;0,$K$26,)</formula>
    </cfRule>
    <cfRule type="cellIs" dxfId="34" priority="37" operator="equal">
      <formula>IF($K$26&gt;0,$K$26,)</formula>
    </cfRule>
  </conditionalFormatting>
  <conditionalFormatting sqref="K37">
    <cfRule type="cellIs" dxfId="33" priority="32" operator="equal">
      <formula>IF($K$37=0,$K$37,)</formula>
    </cfRule>
    <cfRule type="cellIs" dxfId="32" priority="33" operator="equal">
      <formula>IF($K$37&lt;0,$K$37,)</formula>
    </cfRule>
    <cfRule type="cellIs" dxfId="31" priority="34" operator="equal">
      <formula>IF($K$37&gt;0,$K$37,)</formula>
    </cfRule>
  </conditionalFormatting>
  <conditionalFormatting sqref="K36">
    <cfRule type="cellIs" dxfId="30" priority="29" operator="equal">
      <formula>IF($K$36=0,$K$36,)</formula>
    </cfRule>
    <cfRule type="cellIs" dxfId="29" priority="30" operator="equal">
      <formula>IF($K$36&gt;0,$K$36,)</formula>
    </cfRule>
    <cfRule type="cellIs" dxfId="28" priority="31" operator="equal">
      <formula>IF($K$36&lt;0,$K$36,)</formula>
    </cfRule>
  </conditionalFormatting>
  <conditionalFormatting sqref="K35">
    <cfRule type="cellIs" dxfId="27" priority="26" operator="equal">
      <formula>IF($K$35=0,$K$35,)</formula>
    </cfRule>
    <cfRule type="cellIs" dxfId="26" priority="27" operator="equal">
      <formula>IF($K$35&gt;0,$K$35,)</formula>
    </cfRule>
    <cfRule type="cellIs" dxfId="25" priority="28" operator="equal">
      <formula>IF($K$35&lt;0,$K$35,)</formula>
    </cfRule>
  </conditionalFormatting>
  <conditionalFormatting sqref="K31">
    <cfRule type="cellIs" dxfId="24" priority="23" operator="equal">
      <formula>IF($K$31=0,$K$31,)</formula>
    </cfRule>
    <cfRule type="cellIs" dxfId="23" priority="24" operator="equal">
      <formula>IF($K$31&gt;0,$K$31,)</formula>
    </cfRule>
    <cfRule type="cellIs" dxfId="22" priority="25" operator="equal">
      <formula>IF($K$31&lt;0,$K$31,)</formula>
    </cfRule>
  </conditionalFormatting>
  <conditionalFormatting sqref="K34">
    <cfRule type="cellIs" dxfId="21" priority="20" operator="equal">
      <formula>IF($K$34=0,$K$34,)</formula>
    </cfRule>
    <cfRule type="cellIs" dxfId="20" priority="21" stopIfTrue="1" operator="equal">
      <formula>IF($K$34&lt;0,$K$34,)</formula>
    </cfRule>
    <cfRule type="cellIs" dxfId="19" priority="22" operator="equal">
      <formula>IF($K$34&gt;0,$K$34,)</formula>
    </cfRule>
  </conditionalFormatting>
  <conditionalFormatting sqref="K33">
    <cfRule type="cellIs" dxfId="18" priority="17" operator="equal">
      <formula>IF($K$33=0,$K$33,)</formula>
    </cfRule>
    <cfRule type="cellIs" dxfId="17" priority="18" operator="equal">
      <formula>IF($K$33&lt;0,$K$33,)</formula>
    </cfRule>
    <cfRule type="cellIs" dxfId="16" priority="19" operator="equal">
      <formula>IF($K$33&gt;0,$K$33,)</formula>
    </cfRule>
  </conditionalFormatting>
  <conditionalFormatting sqref="K32">
    <cfRule type="cellIs" dxfId="15" priority="14" operator="equal">
      <formula>IF($K$32=0,$K$32,)</formula>
    </cfRule>
    <cfRule type="cellIs" dxfId="14" priority="15" operator="equal">
      <formula>IF($K$32&gt;0,$K$32,)</formula>
    </cfRule>
    <cfRule type="cellIs" dxfId="13" priority="16" operator="equal">
      <formula>IF($K$32&lt;0,$K$32,)</formula>
    </cfRule>
  </conditionalFormatting>
  <conditionalFormatting sqref="K30">
    <cfRule type="cellIs" dxfId="12" priority="11" operator="equal">
      <formula>IF($K$30=0,$K$30,)</formula>
    </cfRule>
    <cfRule type="cellIs" dxfId="11" priority="12" operator="equal">
      <formula>IF($K$30&gt;0,$K$30,)</formula>
    </cfRule>
    <cfRule type="cellIs" dxfId="10" priority="13" operator="equal">
      <formula>IF($K$30&lt;0,$K$30,)</formula>
    </cfRule>
  </conditionalFormatting>
  <conditionalFormatting sqref="K29">
    <cfRule type="cellIs" dxfId="9" priority="8" stopIfTrue="1" operator="equal">
      <formula>IF($K$29=0,$K$29,)</formula>
    </cfRule>
    <cfRule type="cellIs" dxfId="8" priority="9" stopIfTrue="1" operator="equal">
      <formula>IF($K$29&lt;0,$K$29,)</formula>
    </cfRule>
    <cfRule type="cellIs" dxfId="7" priority="10" operator="equal">
      <formula>IF($K$29&gt;0,$K$29,)</formula>
    </cfRule>
  </conditionalFormatting>
  <conditionalFormatting sqref="K28">
    <cfRule type="cellIs" dxfId="6" priority="5" stopIfTrue="1" operator="equal">
      <formula>IF($K$28=0,$K$28,)</formula>
    </cfRule>
    <cfRule type="cellIs" dxfId="5" priority="6" stopIfTrue="1" operator="equal">
      <formula>IF($K$28&lt;0,$K$28,)</formula>
    </cfRule>
    <cfRule type="cellIs" dxfId="4" priority="7" operator="equal">
      <formula>IF($K$28&gt;0,$K$28,)</formula>
    </cfRule>
  </conditionalFormatting>
  <conditionalFormatting sqref="K27">
    <cfRule type="cellIs" dxfId="3" priority="2" operator="equal">
      <formula>IF($K$27=0,$K$27,)</formula>
    </cfRule>
    <cfRule type="cellIs" dxfId="2" priority="3" operator="equal">
      <formula>IF($K$27&gt;0,$K$27,)</formula>
    </cfRule>
    <cfRule type="cellIs" dxfId="1" priority="4" operator="equal">
      <formula>IF($K$27&lt;0,$K$27,)</formula>
    </cfRule>
  </conditionalFormatting>
  <conditionalFormatting sqref="I5:I17">
    <cfRule type="cellIs" dxfId="0" priority="1" operator="notEqual">
      <formula>0</formula>
    </cfRule>
  </conditionalFormatting>
  <dataValidations count="4">
    <dataValidation type="list" allowBlank="1" showInputMessage="1" showErrorMessage="1" errorTitle="NOTATION!" error="Just Number in Shelf is acceptable." sqref="AB21">
      <formula1>"1,5,10,20,50,100,200,500,1000"</formula1>
    </dataValidation>
    <dataValidation type="decimal" allowBlank="1" showInputMessage="1" showErrorMessage="1" error="Just positive number is acceptable_x000a_Min:0.1                    Max:2" sqref="N23">
      <formula1>0.1</formula1>
      <formula2>2</formula2>
    </dataValidation>
    <dataValidation type="decimal" operator="greaterThan" allowBlank="1" showInputMessage="1" showErrorMessage="1" error="Just positive number is acceptable_x000a_" sqref="C31 H25:J37 C25">
      <formula1>0</formula1>
    </dataValidation>
    <dataValidation type="decimal" operator="greaterThan" allowBlank="1" showInputMessage="1" showErrorMessage="1" error="Just positive number is acceptable_x000a_" sqref="E21">
      <formula1>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h.w-1</vt:lpstr>
      <vt:lpstr>h.w-2</vt:lpstr>
      <vt:lpstr>Truss-Optimization-1</vt:lpstr>
      <vt:lpstr>tir-soton</vt:lpstr>
      <vt:lpstr>01-Truss</vt:lpstr>
      <vt:lpstr>02-Truss</vt:lpstr>
      <vt:lpstr>03-Truss</vt:lpstr>
    </vt:vector>
  </TitlesOfParts>
  <Company>MRT Win2Farsi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Structural optimization</dc:subject>
  <dc:creator>Salar Delavar Ghashghaei</dc:creator>
  <dc:description>For any Comment or suggestion:salar.d.ghashghaei@gmail.com</dc:description>
  <cp:lastModifiedBy>Windows User</cp:lastModifiedBy>
  <dcterms:created xsi:type="dcterms:W3CDTF">2015-03-03T01:57:24Z</dcterms:created>
  <dcterms:modified xsi:type="dcterms:W3CDTF">2021-06-09T13:17:03Z</dcterms:modified>
</cp:coreProperties>
</file>