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rahanit\Desktop\"/>
    </mc:Choice>
  </mc:AlternateContent>
  <bookViews>
    <workbookView xWindow="120" yWindow="45" windowWidth="12120" windowHeight="8130" tabRatio="540" firstSheet="7" activeTab="7"/>
  </bookViews>
  <sheets>
    <sheet name="h.w-1" sheetId="1" r:id="rId1"/>
    <sheet name="h.w-2" sheetId="2" r:id="rId2"/>
    <sheet name="Truss-Optimization-1" sheetId="6" r:id="rId3"/>
    <sheet name="hale modele" sheetId="3" r:id="rId4"/>
    <sheet name="tir-soton" sheetId="4" r:id="rId5"/>
    <sheet name="tir-varagh" sheetId="5" r:id="rId6"/>
    <sheet name="TRUSS-optimzation-2" sheetId="7" r:id="rId7"/>
    <sheet name="Gable Frame" sheetId="8" r:id="rId8"/>
  </sheets>
  <definedNames>
    <definedName name="OLE_LINK1" localSheetId="5">'tir-varagh'!$A$31</definedName>
    <definedName name="solver_adj" localSheetId="7" hidden="1">'Gable Frame'!$G$7:$G$25,'Gable Frame'!$K$7:$K$25,'Gable Frame'!$O$7:$O$15</definedName>
    <definedName name="solver_adj" localSheetId="0" hidden="1">'h.w-1'!$E$1:$E$2</definedName>
    <definedName name="solver_adj" localSheetId="1" hidden="1">'h.w-2'!$E$1:$E$2</definedName>
    <definedName name="solver_adj" localSheetId="3" hidden="1">'hale modele'!$B$4:$B$5</definedName>
    <definedName name="solver_adj" localSheetId="4" hidden="1">'tir-soton'!$B$1:$B$4</definedName>
    <definedName name="solver_adj" localSheetId="5" hidden="1">'tir-varagh'!$B$3:$B$11</definedName>
    <definedName name="solver_adj" localSheetId="2" hidden="1">'Truss-Optimization-1'!$C$5:$C$10</definedName>
    <definedName name="solver_adj" localSheetId="6" hidden="1">'TRUSS-optimzation-2'!$C$5:$C$22</definedName>
    <definedName name="solver_cvg" localSheetId="7" hidden="1">0.000001</definedName>
    <definedName name="solver_cvg" localSheetId="0" hidden="1">0.000000001</definedName>
    <definedName name="solver_cvg" localSheetId="1" hidden="1">0.0000000000000001</definedName>
    <definedName name="solver_cvg" localSheetId="3" hidden="1">0.0001</definedName>
    <definedName name="solver_cvg" localSheetId="4" hidden="1">0.000001</definedName>
    <definedName name="solver_cvg" localSheetId="5" hidden="1">0.000001</definedName>
    <definedName name="solver_cvg" localSheetId="2" hidden="1">0.0001</definedName>
    <definedName name="solver_cvg" localSheetId="6" hidden="1">0.0001</definedName>
    <definedName name="solver_drv" localSheetId="7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2" hidden="1">1</definedName>
    <definedName name="solver_drv" localSheetId="6" hidden="1">1</definedName>
    <definedName name="solver_eng" localSheetId="7" hidden="1">1</definedName>
    <definedName name="solver_est" localSheetId="7" hidden="1">1</definedName>
    <definedName name="solver_est" localSheetId="0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est" localSheetId="6" hidden="1">1</definedName>
    <definedName name="solver_itr" localSheetId="7" hidden="1">9999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itr" localSheetId="4" hidden="1">100</definedName>
    <definedName name="solver_itr" localSheetId="5" hidden="1">3000</definedName>
    <definedName name="solver_itr" localSheetId="2" hidden="1">10000</definedName>
    <definedName name="solver_itr" localSheetId="6" hidden="1">5000</definedName>
    <definedName name="solver_lhs1" localSheetId="7" hidden="1">'Gable Frame'!$E$295</definedName>
    <definedName name="solver_lhs1" localSheetId="0" hidden="1">'h.w-1'!$A$6</definedName>
    <definedName name="solver_lhs1" localSheetId="1" hidden="1">'h.w-2'!$E$2</definedName>
    <definedName name="solver_lhs1" localSheetId="3" hidden="1">'hale modele'!$D$4</definedName>
    <definedName name="solver_lhs1" localSheetId="4" hidden="1">'tir-soton'!$B$13</definedName>
    <definedName name="solver_lhs1" localSheetId="5" hidden="1">'tir-varagh'!$B$47</definedName>
    <definedName name="solver_lhs1" localSheetId="2" hidden="1">'Truss-Optimization-1'!$C$5</definedName>
    <definedName name="solver_lhs1" localSheetId="6" hidden="1">'TRUSS-optimzation-2'!$C$5</definedName>
    <definedName name="solver_lhs10" localSheetId="7" hidden="1">'Gable Frame'!$E$293</definedName>
    <definedName name="solver_lhs10" localSheetId="4" hidden="1">'tir-soton'!$B$4</definedName>
    <definedName name="solver_lhs10" localSheetId="5" hidden="1">'tir-varagh'!$B$62</definedName>
    <definedName name="solver_lhs10" localSheetId="2" hidden="1">'Truss-Optimization-1'!$L$23</definedName>
    <definedName name="solver_lhs10" localSheetId="6" hidden="1">'TRUSS-optimzation-2'!$C$9</definedName>
    <definedName name="solver_lhs100" localSheetId="7" hidden="1">'Gable Frame'!$AP$66</definedName>
    <definedName name="solver_lhs101" localSheetId="7" hidden="1">'Gable Frame'!$B$17</definedName>
    <definedName name="solver_lhs102" localSheetId="7" hidden="1">'Gable Frame'!$B$16</definedName>
    <definedName name="solver_lhs103" localSheetId="7" hidden="1">'Gable Frame'!$B$15</definedName>
    <definedName name="solver_lhs104" localSheetId="7" hidden="1">'Gable Frame'!$B$16</definedName>
    <definedName name="solver_lhs105" localSheetId="7" hidden="1">'Gable Frame'!$B$17</definedName>
    <definedName name="solver_lhs106" localSheetId="7" hidden="1">'Gable Frame'!$AP$81</definedName>
    <definedName name="solver_lhs107" localSheetId="7" hidden="1">'Gable Frame'!$AP$162</definedName>
    <definedName name="solver_lhs108" localSheetId="7" hidden="1">'Gable Frame'!$AP$155</definedName>
    <definedName name="solver_lhs109" localSheetId="7" hidden="1">'Gable Frame'!$AP$84</definedName>
    <definedName name="solver_lhs11" localSheetId="7" hidden="1">'Gable Frame'!$E$294</definedName>
    <definedName name="solver_lhs11" localSheetId="4" hidden="1">'tir-soton'!$B$3</definedName>
    <definedName name="solver_lhs11" localSheetId="5" hidden="1">'tir-varagh'!$B$5</definedName>
    <definedName name="solver_lhs11" localSheetId="2" hidden="1">'Truss-Optimization-1'!$L$22</definedName>
    <definedName name="solver_lhs11" localSheetId="6" hidden="1">'TRUSS-optimzation-2'!$C$10</definedName>
    <definedName name="solver_lhs110" localSheetId="7" hidden="1">'Gable Frame'!$AP$93</definedName>
    <definedName name="solver_lhs111" localSheetId="7" hidden="1">'Gable Frame'!$AP$99</definedName>
    <definedName name="solver_lhs112" localSheetId="7" hidden="1">'Gable Frame'!$AP$90</definedName>
    <definedName name="solver_lhs113" localSheetId="7" hidden="1">'Gable Frame'!$AP$171</definedName>
    <definedName name="solver_lhs114" localSheetId="7" hidden="1">'Gable Frame'!$AP$192</definedName>
    <definedName name="solver_lhs115" localSheetId="7" hidden="1">'Gable Frame'!$AP$75</definedName>
    <definedName name="solver_lhs116" localSheetId="7" hidden="1">'Gable Frame'!$AP$99</definedName>
    <definedName name="solver_lhs117" localSheetId="7" hidden="1">'Gable Frame'!$AP$165</definedName>
    <definedName name="solver_lhs118" localSheetId="7" hidden="1">'Gable Frame'!$AP$99</definedName>
    <definedName name="solver_lhs119" localSheetId="7" hidden="1">'Gable Frame'!$AP$93</definedName>
    <definedName name="solver_lhs12" localSheetId="7" hidden="1">'Gable Frame'!$E$290</definedName>
    <definedName name="solver_lhs12" localSheetId="4" hidden="1">'tir-soton'!$B$16</definedName>
    <definedName name="solver_lhs12" localSheetId="5" hidden="1">'tir-varagh'!$B$5</definedName>
    <definedName name="solver_lhs12" localSheetId="2" hidden="1">'Truss-Optimization-1'!$L$21</definedName>
    <definedName name="solver_lhs12" localSheetId="6" hidden="1">'TRUSS-optimzation-2'!$C$10</definedName>
    <definedName name="solver_lhs120" localSheetId="7" hidden="1">'Gable Frame'!$AP$138</definedName>
    <definedName name="solver_lhs121" localSheetId="7" hidden="1">'Gable Frame'!$AP$102</definedName>
    <definedName name="solver_lhs122" localSheetId="7" hidden="1">'Gable Frame'!$AP$120</definedName>
    <definedName name="solver_lhs123" localSheetId="7" hidden="1">'Gable Frame'!$AP$153</definedName>
    <definedName name="solver_lhs124" localSheetId="7" hidden="1">'Gable Frame'!$AP$108</definedName>
    <definedName name="solver_lhs125" localSheetId="7" hidden="1">'Gable Frame'!$AP$187</definedName>
    <definedName name="solver_lhs126" localSheetId="7" hidden="1">'Gable Frame'!$AP$165</definedName>
    <definedName name="solver_lhs127" localSheetId="7" hidden="1">'Gable Frame'!$AP$111</definedName>
    <definedName name="solver_lhs128" localSheetId="7" hidden="1">'Gable Frame'!$AP$153</definedName>
    <definedName name="solver_lhs129" localSheetId="7" hidden="1">'Gable Frame'!$AP$169</definedName>
    <definedName name="solver_lhs13" localSheetId="7" hidden="1">'Gable Frame'!$E$289</definedName>
    <definedName name="solver_lhs13" localSheetId="4" hidden="1">'tir-soton'!$B$2</definedName>
    <definedName name="solver_lhs13" localSheetId="5" hidden="1">'tir-varagh'!$B$6</definedName>
    <definedName name="solver_lhs13" localSheetId="2" hidden="1">'Truss-Optimization-1'!$F$61</definedName>
    <definedName name="solver_lhs13" localSheetId="6" hidden="1">'TRUSS-optimzation-2'!$C$11</definedName>
    <definedName name="solver_lhs130" localSheetId="7" hidden="1">'Gable Frame'!$AP$117</definedName>
    <definedName name="solver_lhs131" localSheetId="7" hidden="1">'Gable Frame'!$AP$155</definedName>
    <definedName name="solver_lhs132" localSheetId="7" hidden="1">'Gable Frame'!$AP$153</definedName>
    <definedName name="solver_lhs133" localSheetId="7" hidden="1">'Gable Frame'!$AP$120</definedName>
    <definedName name="solver_lhs134" localSheetId="7" hidden="1">'Gable Frame'!$AP$124</definedName>
    <definedName name="solver_lhs135" localSheetId="7" hidden="1">'Gable Frame'!$AP$183</definedName>
    <definedName name="solver_lhs136" localSheetId="7" hidden="1">'Gable Frame'!$AP$126</definedName>
    <definedName name="solver_lhs137" localSheetId="7" hidden="1">'Gable Frame'!$AP$180</definedName>
    <definedName name="solver_lhs138" localSheetId="7" hidden="1">'Gable Frame'!$AP$162</definedName>
    <definedName name="solver_lhs139" localSheetId="7" hidden="1">'Gable Frame'!$AP$129</definedName>
    <definedName name="solver_lhs14" localSheetId="7" hidden="1">'Gable Frame'!$E$288</definedName>
    <definedName name="solver_lhs14" localSheetId="4" hidden="1">'tir-soton'!$B$2</definedName>
    <definedName name="solver_lhs14" localSheetId="5" hidden="1">'tir-varagh'!$B$6</definedName>
    <definedName name="solver_lhs14" localSheetId="2" hidden="1">'Truss-Optimization-1'!$F$62</definedName>
    <definedName name="solver_lhs14" localSheetId="6" hidden="1">'TRUSS-optimzation-2'!$C$11</definedName>
    <definedName name="solver_lhs140" localSheetId="7" hidden="1">'Gable Frame'!$AP$133</definedName>
    <definedName name="solver_lhs141" localSheetId="7" hidden="1">'Gable Frame'!$AP$187</definedName>
    <definedName name="solver_lhs142" localSheetId="7" hidden="1">'Gable Frame'!$AP$135</definedName>
    <definedName name="solver_lhs143" localSheetId="7" hidden="1">'Gable Frame'!$AP$189</definedName>
    <definedName name="solver_lhs144" localSheetId="7" hidden="1">'Gable Frame'!$AP$160</definedName>
    <definedName name="solver_lhs145" localSheetId="7" hidden="1">'Gable Frame'!$AP$138</definedName>
    <definedName name="solver_lhs146" localSheetId="7" hidden="1">'Gable Frame'!$AP$142</definedName>
    <definedName name="solver_lhs147" localSheetId="7" hidden="1">'Gable Frame'!$AP$153</definedName>
    <definedName name="solver_lhs148" localSheetId="7" hidden="1">'Gable Frame'!$AP$144</definedName>
    <definedName name="solver_lhs149" localSheetId="7" hidden="1">'Gable Frame'!$AP$146</definedName>
    <definedName name="solver_lhs15" localSheetId="7" hidden="1">'Gable Frame'!$E$287</definedName>
    <definedName name="solver_lhs15" localSheetId="4" hidden="1">'tir-soton'!$B$1</definedName>
    <definedName name="solver_lhs15" localSheetId="5" hidden="1">'tir-varagh'!$B$7</definedName>
    <definedName name="solver_lhs15" localSheetId="2" hidden="1">'Truss-Optimization-1'!$F$63</definedName>
    <definedName name="solver_lhs15" localSheetId="6" hidden="1">'TRUSS-optimzation-2'!$C$12</definedName>
    <definedName name="solver_lhs150" localSheetId="7" hidden="1">'Gable Frame'!$AP$146</definedName>
    <definedName name="solver_lhs151" localSheetId="7" hidden="1">'Gable Frame'!$AP$155</definedName>
    <definedName name="solver_lhs152" localSheetId="7" hidden="1">'Gable Frame'!$AP$151</definedName>
    <definedName name="solver_lhs153" localSheetId="7" hidden="1">'Gable Frame'!$AP$187</definedName>
    <definedName name="solver_lhs154" localSheetId="7" hidden="1">'Gable Frame'!$AP$153</definedName>
    <definedName name="solver_lhs155" localSheetId="7" hidden="1">'Gable Frame'!$AP$187</definedName>
    <definedName name="solver_lhs156" localSheetId="7" hidden="1">'Gable Frame'!$AP$155</definedName>
    <definedName name="solver_lhs157" localSheetId="7" hidden="1">'Gable Frame'!$AP$156</definedName>
    <definedName name="solver_lhs158" localSheetId="7" hidden="1">'Gable Frame'!$AP$160</definedName>
    <definedName name="solver_lhs159" localSheetId="7" hidden="1">'Gable Frame'!$AP$161</definedName>
    <definedName name="solver_lhs16" localSheetId="7" hidden="1">'Gable Frame'!$E$286</definedName>
    <definedName name="solver_lhs16" localSheetId="4" hidden="1">'tir-soton'!$B$1</definedName>
    <definedName name="solver_lhs16" localSheetId="5" hidden="1">'tir-varagh'!$B$7</definedName>
    <definedName name="solver_lhs16" localSheetId="6" hidden="1">'TRUSS-optimzation-2'!$C$12</definedName>
    <definedName name="solver_lhs160" localSheetId="7" hidden="1">'Gable Frame'!$AP$162</definedName>
    <definedName name="solver_lhs161" localSheetId="7" hidden="1">'Gable Frame'!$AP$183</definedName>
    <definedName name="solver_lhs162" localSheetId="7" hidden="1">'Gable Frame'!$AP$164</definedName>
    <definedName name="solver_lhs163" localSheetId="7" hidden="1">'Gable Frame'!$AP$165</definedName>
    <definedName name="solver_lhs164" localSheetId="7" hidden="1">'Gable Frame'!$AP$169</definedName>
    <definedName name="solver_lhs165" localSheetId="7" hidden="1">'Gable Frame'!$AP$170</definedName>
    <definedName name="solver_lhs166" localSheetId="7" hidden="1">'Gable Frame'!$AP$171</definedName>
    <definedName name="solver_lhs167" localSheetId="7" hidden="1">'Gable Frame'!$AP$182</definedName>
    <definedName name="solver_lhs168" localSheetId="7" hidden="1">'Gable Frame'!$AP$93</definedName>
    <definedName name="solver_lhs169" localSheetId="7" hidden="1">'Gable Frame'!$AP$174</definedName>
    <definedName name="solver_lhs17" localSheetId="7" hidden="1">'Gable Frame'!$E$285</definedName>
    <definedName name="solver_lhs17" localSheetId="4" hidden="1">'tir-soton'!$B$2</definedName>
    <definedName name="solver_lhs17" localSheetId="5" hidden="1">'tir-varagh'!$B$3</definedName>
    <definedName name="solver_lhs17" localSheetId="6" hidden="1">'TRUSS-optimzation-2'!$C$13</definedName>
    <definedName name="solver_lhs170" localSheetId="7" hidden="1">'Gable Frame'!$AP$178</definedName>
    <definedName name="solver_lhs171" localSheetId="7" hidden="1">'Gable Frame'!$AP$191</definedName>
    <definedName name="solver_lhs172" localSheetId="7" hidden="1">'Gable Frame'!$AP$180</definedName>
    <definedName name="solver_lhs173" localSheetId="7" hidden="1">'Gable Frame'!$AP$181</definedName>
    <definedName name="solver_lhs174" localSheetId="7" hidden="1">'Gable Frame'!$AP$182</definedName>
    <definedName name="solver_lhs175" localSheetId="7" hidden="1">'Gable Frame'!$AP$183</definedName>
    <definedName name="solver_lhs176" localSheetId="7" hidden="1">'Gable Frame'!$AP$187</definedName>
    <definedName name="solver_lhs177" localSheetId="7" hidden="1">'Gable Frame'!$AP$188</definedName>
    <definedName name="solver_lhs178" localSheetId="7" hidden="1">'Gable Frame'!$AP$189</definedName>
    <definedName name="solver_lhs179" localSheetId="7" hidden="1">'Gable Frame'!$AP$190</definedName>
    <definedName name="solver_lhs18" localSheetId="7" hidden="1">'Gable Frame'!$E$284</definedName>
    <definedName name="solver_lhs18" localSheetId="5" hidden="1">'tir-varagh'!$B$3</definedName>
    <definedName name="solver_lhs18" localSheetId="6" hidden="1">'TRUSS-optimzation-2'!$C$13</definedName>
    <definedName name="solver_lhs180" localSheetId="7" hidden="1">'Gable Frame'!$AP$191</definedName>
    <definedName name="solver_lhs181" localSheetId="7" hidden="1">'Gable Frame'!$AP$92</definedName>
    <definedName name="solver_lhs19" localSheetId="7" hidden="1">'Gable Frame'!$E$283</definedName>
    <definedName name="solver_lhs19" localSheetId="5" hidden="1">'tir-varagh'!$B$4</definedName>
    <definedName name="solver_lhs19" localSheetId="6" hidden="1">'TRUSS-optimzation-2'!$C$14</definedName>
    <definedName name="solver_lhs2" localSheetId="7" hidden="1">'Gable Frame'!$AP$57</definedName>
    <definedName name="solver_lhs2" localSheetId="0" hidden="1">'h.w-1'!$A$7</definedName>
    <definedName name="solver_lhs2" localSheetId="1" hidden="1">'h.w-2'!$E$2</definedName>
    <definedName name="solver_lhs2" localSheetId="3" hidden="1">'hale modele'!$D$5</definedName>
    <definedName name="solver_lhs2" localSheetId="4" hidden="1">'tir-soton'!$B$14</definedName>
    <definedName name="solver_lhs2" localSheetId="5" hidden="1">'tir-varagh'!$B$32</definedName>
    <definedName name="solver_lhs2" localSheetId="2" hidden="1">'Truss-Optimization-1'!$C$5</definedName>
    <definedName name="solver_lhs2" localSheetId="6" hidden="1">'TRUSS-optimzation-2'!$C$5</definedName>
    <definedName name="solver_lhs20" localSheetId="7" hidden="1">'Gable Frame'!$E$282</definedName>
    <definedName name="solver_lhs20" localSheetId="5" hidden="1">'tir-varagh'!$B$4</definedName>
    <definedName name="solver_lhs20" localSheetId="6" hidden="1">'TRUSS-optimzation-2'!$C$14</definedName>
    <definedName name="solver_lhs21" localSheetId="7" hidden="1">'Gable Frame'!$E$281</definedName>
    <definedName name="solver_lhs21" localSheetId="5" hidden="1">'tir-varagh'!$B$11</definedName>
    <definedName name="solver_lhs21" localSheetId="6" hidden="1">'TRUSS-optimzation-2'!$L$41</definedName>
    <definedName name="solver_lhs22" localSheetId="7" hidden="1">'Gable Frame'!$E$280</definedName>
    <definedName name="solver_lhs22" localSheetId="5" hidden="1">'tir-varagh'!$B$11</definedName>
    <definedName name="solver_lhs22" localSheetId="6" hidden="1">'TRUSS-optimzation-2'!$L$32</definedName>
    <definedName name="solver_lhs23" localSheetId="7" hidden="1">'Gable Frame'!$E$279</definedName>
    <definedName name="solver_lhs23" localSheetId="5" hidden="1">'tir-varagh'!$B$10</definedName>
    <definedName name="solver_lhs23" localSheetId="6" hidden="1">'TRUSS-optimzation-2'!$L$33</definedName>
    <definedName name="solver_lhs24" localSheetId="7" hidden="1">'Gable Frame'!$E$278</definedName>
    <definedName name="solver_lhs24" localSheetId="5" hidden="1">'tir-varagh'!$B$10</definedName>
    <definedName name="solver_lhs24" localSheetId="6" hidden="1">'TRUSS-optimzation-2'!$L$34</definedName>
    <definedName name="solver_lhs25" localSheetId="7" hidden="1">'Gable Frame'!$E$277</definedName>
    <definedName name="solver_lhs25" localSheetId="5" hidden="1">'tir-varagh'!$B$9</definedName>
    <definedName name="solver_lhs25" localSheetId="6" hidden="1">'TRUSS-optimzation-2'!$L$35</definedName>
    <definedName name="solver_lhs26" localSheetId="7" hidden="1">'Gable Frame'!$E$276</definedName>
    <definedName name="solver_lhs26" localSheetId="5" hidden="1">'tir-varagh'!$B$31</definedName>
    <definedName name="solver_lhs26" localSheetId="6" hidden="1">'TRUSS-optimzation-2'!$L$36</definedName>
    <definedName name="solver_lhs27" localSheetId="7" hidden="1">'Gable Frame'!$E$275</definedName>
    <definedName name="solver_lhs27" localSheetId="5" hidden="1">'tir-varagh'!$B$50</definedName>
    <definedName name="solver_lhs27" localSheetId="6" hidden="1">'TRUSS-optimzation-2'!$L$37</definedName>
    <definedName name="solver_lhs28" localSheetId="7" hidden="1">'Gable Frame'!$E$274</definedName>
    <definedName name="solver_lhs28" localSheetId="5" hidden="1">'tir-varagh'!$B$26</definedName>
    <definedName name="solver_lhs28" localSheetId="6" hidden="1">'TRUSS-optimzation-2'!$L$38</definedName>
    <definedName name="solver_lhs29" localSheetId="7" hidden="1">'Gable Frame'!$E$273</definedName>
    <definedName name="solver_lhs29" localSheetId="5" hidden="1">'tir-varagh'!$B$28</definedName>
    <definedName name="solver_lhs29" localSheetId="6" hidden="1">'TRUSS-optimzation-2'!$L$39</definedName>
    <definedName name="solver_lhs3" localSheetId="7" hidden="1">'Gable Frame'!$B$17</definedName>
    <definedName name="solver_lhs3" localSheetId="0" hidden="1">'h.w-1'!$A$8</definedName>
    <definedName name="solver_lhs3" localSheetId="1" hidden="1">'h.w-2'!$E$1</definedName>
    <definedName name="solver_lhs3" localSheetId="4" hidden="1">'tir-soton'!$B$2</definedName>
    <definedName name="solver_lhs3" localSheetId="5" hidden="1">'tir-varagh'!$B$25</definedName>
    <definedName name="solver_lhs3" localSheetId="2" hidden="1">'Truss-Optimization-1'!$C$6</definedName>
    <definedName name="solver_lhs3" localSheetId="6" hidden="1">'TRUSS-optimzation-2'!$C$6</definedName>
    <definedName name="solver_lhs30" localSheetId="7" hidden="1">'Gable Frame'!$E$272</definedName>
    <definedName name="solver_lhs30" localSheetId="5" hidden="1">'tir-varagh'!$B$30</definedName>
    <definedName name="solver_lhs30" localSheetId="6" hidden="1">'TRUSS-optimzation-2'!$L$40</definedName>
    <definedName name="solver_lhs31" localSheetId="7" hidden="1">'Gable Frame'!$E$271</definedName>
    <definedName name="solver_lhs31" localSheetId="5" hidden="1">'tir-varagh'!$B$37</definedName>
    <definedName name="solver_lhs31" localSheetId="6" hidden="1">'TRUSS-optimzation-2'!$F$129</definedName>
    <definedName name="solver_lhs32" localSheetId="7" hidden="1">'Gable Frame'!$E$270</definedName>
    <definedName name="solver_lhs32" localSheetId="5" hidden="1">'tir-varagh'!$B$23</definedName>
    <definedName name="solver_lhs32" localSheetId="6" hidden="1">'TRUSS-optimzation-2'!$F$122</definedName>
    <definedName name="solver_lhs33" localSheetId="7" hidden="1">'Gable Frame'!$E$269</definedName>
    <definedName name="solver_lhs33" localSheetId="5" hidden="1">'tir-varagh'!$B$25</definedName>
    <definedName name="solver_lhs33" localSheetId="6" hidden="1">'TRUSS-optimzation-2'!$F$123</definedName>
    <definedName name="solver_lhs34" localSheetId="7" hidden="1">'Gable Frame'!$E$268</definedName>
    <definedName name="solver_lhs34" localSheetId="5" hidden="1">'tir-varagh'!#REF!</definedName>
    <definedName name="solver_lhs34" localSheetId="6" hidden="1">'TRUSS-optimzation-2'!$F$124</definedName>
    <definedName name="solver_lhs35" localSheetId="7" hidden="1">'Gable Frame'!$E$267</definedName>
    <definedName name="solver_lhs35" localSheetId="5" hidden="1">'tir-varagh'!#REF!</definedName>
    <definedName name="solver_lhs35" localSheetId="6" hidden="1">'TRUSS-optimzation-2'!$F$125</definedName>
    <definedName name="solver_lhs36" localSheetId="7" hidden="1">'Gable Frame'!$E$266</definedName>
    <definedName name="solver_lhs36" localSheetId="6" hidden="1">'TRUSS-optimzation-2'!$F$126</definedName>
    <definedName name="solver_lhs37" localSheetId="7" hidden="1">'Gable Frame'!$E$265</definedName>
    <definedName name="solver_lhs37" localSheetId="6" hidden="1">'TRUSS-optimzation-2'!$F$127</definedName>
    <definedName name="solver_lhs38" localSheetId="7" hidden="1">'Gable Frame'!$E$264</definedName>
    <definedName name="solver_lhs38" localSheetId="6" hidden="1">'TRUSS-optimzation-2'!$F$128</definedName>
    <definedName name="solver_lhs39" localSheetId="7" hidden="1">'Gable Frame'!$E$263</definedName>
    <definedName name="solver_lhs39" localSheetId="6" hidden="1">'TRUSS-optimzation-2'!$J$122</definedName>
    <definedName name="solver_lhs4" localSheetId="7" hidden="1">'Gable Frame'!$B$22</definedName>
    <definedName name="solver_lhs4" localSheetId="0" hidden="1">'h.w-1'!$E$2</definedName>
    <definedName name="solver_lhs4" localSheetId="1" hidden="1">'h.w-2'!$E$1</definedName>
    <definedName name="solver_lhs4" localSheetId="4" hidden="1">'tir-soton'!$B$1</definedName>
    <definedName name="solver_lhs4" localSheetId="5" hidden="1">'tir-varagh'!$B$39</definedName>
    <definedName name="solver_lhs4" localSheetId="2" hidden="1">'Truss-Optimization-1'!$C$6</definedName>
    <definedName name="solver_lhs4" localSheetId="6" hidden="1">'TRUSS-optimzation-2'!$C$6</definedName>
    <definedName name="solver_lhs40" localSheetId="7" hidden="1">'Gable Frame'!$E$262</definedName>
    <definedName name="solver_lhs40" localSheetId="6" hidden="1">'TRUSS-optimzation-2'!$J$123</definedName>
    <definedName name="solver_lhs41" localSheetId="7" hidden="1">'Gable Frame'!$E$261</definedName>
    <definedName name="solver_lhs41" localSheetId="6" hidden="1">'TRUSS-optimzation-2'!$J$124</definedName>
    <definedName name="solver_lhs42" localSheetId="7" hidden="1">'Gable Frame'!$E$260</definedName>
    <definedName name="solver_lhs42" localSheetId="6" hidden="1">'TRUSS-optimzation-2'!$J$125</definedName>
    <definedName name="solver_lhs43" localSheetId="7" hidden="1">'Gable Frame'!$E$259</definedName>
    <definedName name="solver_lhs43" localSheetId="6" hidden="1">'TRUSS-optimzation-2'!$J$126</definedName>
    <definedName name="solver_lhs44" localSheetId="7" hidden="1">'Gable Frame'!$E$258</definedName>
    <definedName name="solver_lhs44" localSheetId="6" hidden="1">'TRUSS-optimzation-2'!$J$127</definedName>
    <definedName name="solver_lhs45" localSheetId="7" hidden="1">'Gable Frame'!$E$257</definedName>
    <definedName name="solver_lhs45" localSheetId="6" hidden="1">'TRUSS-optimzation-2'!$J$128</definedName>
    <definedName name="solver_lhs46" localSheetId="7" hidden="1">'Gable Frame'!$E$256</definedName>
    <definedName name="solver_lhs46" localSheetId="6" hidden="1">'TRUSS-optimzation-2'!$J$129</definedName>
    <definedName name="solver_lhs47" localSheetId="7" hidden="1">'Gable Frame'!$E$255</definedName>
    <definedName name="solver_lhs48" localSheetId="7" hidden="1">'Gable Frame'!$E$254</definedName>
    <definedName name="solver_lhs49" localSheetId="7" hidden="1">'Gable Frame'!$E$253</definedName>
    <definedName name="solver_lhs5" localSheetId="7" hidden="1">'Gable Frame'!$B$23</definedName>
    <definedName name="solver_lhs5" localSheetId="0" hidden="1">'h.w-1'!$E$1</definedName>
    <definedName name="solver_lhs5" localSheetId="1" hidden="1">'h.w-2'!$E$2</definedName>
    <definedName name="solver_lhs5" localSheetId="4" hidden="1">'tir-soton'!$B$2</definedName>
    <definedName name="solver_lhs5" localSheetId="5" hidden="1">'tir-varagh'!$B$9</definedName>
    <definedName name="solver_lhs5" localSheetId="2" hidden="1">'Truss-Optimization-1'!$C$7</definedName>
    <definedName name="solver_lhs5" localSheetId="6" hidden="1">'TRUSS-optimzation-2'!$C$7</definedName>
    <definedName name="solver_lhs50" localSheetId="7" hidden="1">'Gable Frame'!$E$252</definedName>
    <definedName name="solver_lhs51" localSheetId="7" hidden="1">'Gable Frame'!$E$251</definedName>
    <definedName name="solver_lhs52" localSheetId="7" hidden="1">'Gable Frame'!$E$250</definedName>
    <definedName name="solver_lhs53" localSheetId="7" hidden="1">'Gable Frame'!$E$249</definedName>
    <definedName name="solver_lhs54" localSheetId="7" hidden="1">'Gable Frame'!$B$7</definedName>
    <definedName name="solver_lhs55" localSheetId="7" hidden="1">'Gable Frame'!$B$9</definedName>
    <definedName name="solver_lhs56" localSheetId="7" hidden="1">'Gable Frame'!$B$8</definedName>
    <definedName name="solver_lhs57" localSheetId="7" hidden="1">'Gable Frame'!$B$9</definedName>
    <definedName name="solver_lhs58" localSheetId="7" hidden="1">'Gable Frame'!$B$7</definedName>
    <definedName name="solver_lhs59" localSheetId="7" hidden="1">'Gable Frame'!$B$8</definedName>
    <definedName name="solver_lhs6" localSheetId="7" hidden="1">'Gable Frame'!$B$25</definedName>
    <definedName name="solver_lhs6" localSheetId="0" hidden="1">'h.w-1'!$E$2</definedName>
    <definedName name="solver_lhs6" localSheetId="1" hidden="1">'h.w-2'!$D$15</definedName>
    <definedName name="solver_lhs6" localSheetId="4" hidden="1">'tir-soton'!$B$4</definedName>
    <definedName name="solver_lhs6" localSheetId="5" hidden="1">'tir-varagh'!$B$52</definedName>
    <definedName name="solver_lhs6" localSheetId="2" hidden="1">'Truss-Optimization-1'!$C$7</definedName>
    <definedName name="solver_lhs6" localSheetId="6" hidden="1">'TRUSS-optimzation-2'!$C$7</definedName>
    <definedName name="solver_lhs60" localSheetId="7" hidden="1">'Gable Frame'!$B$10</definedName>
    <definedName name="solver_lhs61" localSheetId="7" hidden="1">'Gable Frame'!$AP$72</definedName>
    <definedName name="solver_lhs62" localSheetId="7" hidden="1">'Gable Frame'!$B$13</definedName>
    <definedName name="solver_lhs63" localSheetId="7" hidden="1">'Gable Frame'!$B$12</definedName>
    <definedName name="solver_lhs64" localSheetId="7" hidden="1">'Gable Frame'!$B$19</definedName>
    <definedName name="solver_lhs65" localSheetId="7" hidden="1">'Gable Frame'!$B$21</definedName>
    <definedName name="solver_lhs66" localSheetId="7" hidden="1">'Gable Frame'!$B$22</definedName>
    <definedName name="solver_lhs67" localSheetId="7" hidden="1">'Gable Frame'!$B$24</definedName>
    <definedName name="solver_lhs68" localSheetId="7" hidden="1">'Gable Frame'!$B$23</definedName>
    <definedName name="solver_lhs69" localSheetId="7" hidden="1">'Gable Frame'!$B$24</definedName>
    <definedName name="solver_lhs7" localSheetId="7" hidden="1">'Gable Frame'!$B$25</definedName>
    <definedName name="solver_lhs7" localSheetId="0" hidden="1">'h.w-1'!$E$1</definedName>
    <definedName name="solver_lhs7" localSheetId="4" hidden="1">'tir-soton'!$B$3</definedName>
    <definedName name="solver_lhs7" localSheetId="5" hidden="1">'tir-varagh'!$B$54</definedName>
    <definedName name="solver_lhs7" localSheetId="2" hidden="1">'Truss-Optimization-1'!$L$22</definedName>
    <definedName name="solver_lhs7" localSheetId="6" hidden="1">'TRUSS-optimzation-2'!$C$8</definedName>
    <definedName name="solver_lhs70" localSheetId="7" hidden="1">'Gable Frame'!$B$20</definedName>
    <definedName name="solver_lhs71" localSheetId="7" hidden="1">'Gable Frame'!$B$20</definedName>
    <definedName name="solver_lhs72" localSheetId="7" hidden="1">'Gable Frame'!$B$21</definedName>
    <definedName name="solver_lhs73" localSheetId="7" hidden="1">'Gable Frame'!$B$19</definedName>
    <definedName name="solver_lhs74" localSheetId="7" hidden="1">'Gable Frame'!$B$18</definedName>
    <definedName name="solver_lhs75" localSheetId="7" hidden="1">'Gable Frame'!$B$17</definedName>
    <definedName name="solver_lhs76" localSheetId="7" hidden="1">'Gable Frame'!$B$18</definedName>
    <definedName name="solver_lhs77" localSheetId="7" hidden="1">'Gable Frame'!$B$16</definedName>
    <definedName name="solver_lhs78" localSheetId="7" hidden="1">'Gable Frame'!$B$16</definedName>
    <definedName name="solver_lhs79" localSheetId="7" hidden="1">'Gable Frame'!$B$15</definedName>
    <definedName name="solver_lhs8" localSheetId="7" hidden="1">'Gable Frame'!$E$291</definedName>
    <definedName name="solver_lhs8" localSheetId="0" hidden="1">'h.w-1'!$A$9</definedName>
    <definedName name="solver_lhs8" localSheetId="4" hidden="1">'tir-soton'!$B$2</definedName>
    <definedName name="solver_lhs8" localSheetId="5" hidden="1">'tir-varagh'!$B$58</definedName>
    <definedName name="solver_lhs8" localSheetId="2" hidden="1">'Truss-Optimization-1'!$L$23</definedName>
    <definedName name="solver_lhs8" localSheetId="6" hidden="1">'TRUSS-optimzation-2'!$C$8</definedName>
    <definedName name="solver_lhs80" localSheetId="7" hidden="1">'Gable Frame'!$B$15</definedName>
    <definedName name="solver_lhs81" localSheetId="7" hidden="1">'Gable Frame'!$B$14</definedName>
    <definedName name="solver_lhs82" localSheetId="7" hidden="1">'Gable Frame'!$B$13</definedName>
    <definedName name="solver_lhs83" localSheetId="7" hidden="1">'Gable Frame'!$B$14</definedName>
    <definedName name="solver_lhs84" localSheetId="7" hidden="1">'Gable Frame'!$B$11</definedName>
    <definedName name="solver_lhs85" localSheetId="7" hidden="1">'Gable Frame'!$B$12</definedName>
    <definedName name="solver_lhs86" localSheetId="7" hidden="1">'Gable Frame'!$B$12</definedName>
    <definedName name="solver_lhs87" localSheetId="7" hidden="1">'Gable Frame'!$B$10</definedName>
    <definedName name="solver_lhs88" localSheetId="7" hidden="1">'Gable Frame'!$B$11</definedName>
    <definedName name="solver_lhs89" localSheetId="7" hidden="1">'Gable Frame'!$B$11</definedName>
    <definedName name="solver_lhs9" localSheetId="7" hidden="1">'Gable Frame'!$E$292</definedName>
    <definedName name="solver_lhs9" localSheetId="0" hidden="1">'h.w-1'!$E$2</definedName>
    <definedName name="solver_lhs9" localSheetId="4" hidden="1">'tir-soton'!$B$1</definedName>
    <definedName name="solver_lhs9" localSheetId="5" hidden="1">'tir-varagh'!$B$60</definedName>
    <definedName name="solver_lhs9" localSheetId="2" hidden="1">'Truss-Optimization-1'!$L$21</definedName>
    <definedName name="solver_lhs9" localSheetId="6" hidden="1">'TRUSS-optimzation-2'!$C$9</definedName>
    <definedName name="solver_lhs90" localSheetId="7" hidden="1">'Gable Frame'!$AP$99</definedName>
    <definedName name="solver_lhs91" localSheetId="7" hidden="1">'Gable Frame'!$B$10</definedName>
    <definedName name="solver_lhs92" localSheetId="7" hidden="1">'Gable Frame'!$AP$81</definedName>
    <definedName name="solver_lhs93" localSheetId="7" hidden="1">'Gable Frame'!$AP$84</definedName>
    <definedName name="solver_lhs94" localSheetId="7" hidden="1">'Gable Frame'!$AP$90</definedName>
    <definedName name="solver_lhs95" localSheetId="7" hidden="1">'Gable Frame'!$AP$93</definedName>
    <definedName name="solver_lhs96" localSheetId="7" hidden="1">'Gable Frame'!$AP$75</definedName>
    <definedName name="solver_lhs97" localSheetId="7" hidden="1">'Gable Frame'!$AP$54</definedName>
    <definedName name="solver_lhs98" localSheetId="7" hidden="1">'Gable Frame'!$AP$102</definedName>
    <definedName name="solver_lhs99" localSheetId="7" hidden="1">'Gable Frame'!$AP$63</definedName>
    <definedName name="solver_lin" localSheetId="7" hidden="1">2</definedName>
    <definedName name="solver_lin" localSheetId="0" hidden="1">2</definedName>
    <definedName name="solver_lin" localSheetId="1" hidden="1">2</definedName>
    <definedName name="solver_lin" localSheetId="3" hidden="1">1</definedName>
    <definedName name="solver_lin" localSheetId="4" hidden="1">2</definedName>
    <definedName name="solver_lin" localSheetId="5" hidden="1">2</definedName>
    <definedName name="solver_lin" localSheetId="2" hidden="1">2</definedName>
    <definedName name="solver_lin" localSheetId="6" hidden="1">2</definedName>
    <definedName name="solver_neg" localSheetId="7" hidden="1">2</definedName>
    <definedName name="solver_neg" localSheetId="0" hidden="1">2</definedName>
    <definedName name="solver_neg" localSheetId="1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2" hidden="1">2</definedName>
    <definedName name="solver_neg" localSheetId="6" hidden="1">2</definedName>
    <definedName name="solver_num" localSheetId="7" hidden="1">100</definedName>
    <definedName name="solver_num" localSheetId="0" hidden="1">9</definedName>
    <definedName name="solver_num" localSheetId="1" hidden="1">5</definedName>
    <definedName name="solver_num" localSheetId="3" hidden="1">2</definedName>
    <definedName name="solver_num" localSheetId="4" hidden="1">16</definedName>
    <definedName name="solver_num" localSheetId="5" hidden="1">32</definedName>
    <definedName name="solver_num" localSheetId="2" hidden="1">15</definedName>
    <definedName name="solver_num" localSheetId="6" hidden="1">38</definedName>
    <definedName name="solver_nwt" localSheetId="7" hidden="1">1</definedName>
    <definedName name="solver_nwt" localSheetId="0" hidden="1">1</definedName>
    <definedName name="solver_nwt" localSheetId="1" hidden="1">1</definedName>
    <definedName name="solver_nwt" localSheetId="3" hidden="1">2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nwt" localSheetId="6" hidden="1">1</definedName>
    <definedName name="solver_opt" localSheetId="7" hidden="1">'Gable Frame'!$D$2</definedName>
    <definedName name="solver_opt" localSheetId="0" hidden="1">'h.w-1'!$E$3</definedName>
    <definedName name="solver_opt" localSheetId="1" hidden="1">'h.w-2'!$B$14</definedName>
    <definedName name="solver_opt" localSheetId="3" hidden="1">'hale modele'!$G$1</definedName>
    <definedName name="solver_opt" localSheetId="4" hidden="1">'tir-soton'!$B$18</definedName>
    <definedName name="solver_opt" localSheetId="5" hidden="1">'tir-varagh'!$B$65</definedName>
    <definedName name="solver_opt" localSheetId="2" hidden="1">'Truss-Optimization-1'!$F$66</definedName>
    <definedName name="solver_opt" localSheetId="6" hidden="1">'TRUSS-optimzation-2'!$F$134</definedName>
    <definedName name="solver_pre" localSheetId="7" hidden="1">0.000001</definedName>
    <definedName name="solver_pre" localSheetId="0" hidden="1">0.00000000001</definedName>
    <definedName name="solver_pre" localSheetId="1" hidden="1">0.00000000000001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2" hidden="1">0.000001</definedName>
    <definedName name="solver_pre" localSheetId="6" hidden="1">0.000001</definedName>
    <definedName name="solver_rel1" localSheetId="7" hidden="1">2</definedName>
    <definedName name="solver_rel1" localSheetId="0" hidden="1">3</definedName>
    <definedName name="solver_rel1" localSheetId="1" hidden="1">1</definedName>
    <definedName name="solver_rel1" localSheetId="3" hidden="1">2</definedName>
    <definedName name="solver_rel1" localSheetId="4" hidden="1">1</definedName>
    <definedName name="solver_rel1" localSheetId="5" hidden="1">3</definedName>
    <definedName name="solver_rel1" localSheetId="2" hidden="1">1</definedName>
    <definedName name="solver_rel1" localSheetId="6" hidden="1">3</definedName>
    <definedName name="solver_rel10" localSheetId="7" hidden="1">2</definedName>
    <definedName name="solver_rel10" localSheetId="4" hidden="1">1</definedName>
    <definedName name="solver_rel10" localSheetId="5" hidden="1">3</definedName>
    <definedName name="solver_rel10" localSheetId="2" hidden="1">1</definedName>
    <definedName name="solver_rel10" localSheetId="6" hidden="1">1</definedName>
    <definedName name="solver_rel100" localSheetId="7" hidden="1">1</definedName>
    <definedName name="solver_rel101" localSheetId="7" hidden="1">2</definedName>
    <definedName name="solver_rel102" localSheetId="7" hidden="1">2</definedName>
    <definedName name="solver_rel103" localSheetId="7" hidden="1">2</definedName>
    <definedName name="solver_rel104" localSheetId="7" hidden="1">2</definedName>
    <definedName name="solver_rel105" localSheetId="7" hidden="1">2</definedName>
    <definedName name="solver_rel106" localSheetId="7" hidden="1">1</definedName>
    <definedName name="solver_rel107" localSheetId="7" hidden="1">1</definedName>
    <definedName name="solver_rel108" localSheetId="7" hidden="1">1</definedName>
    <definedName name="solver_rel109" localSheetId="7" hidden="1">1</definedName>
    <definedName name="solver_rel11" localSheetId="7" hidden="1">2</definedName>
    <definedName name="solver_rel11" localSheetId="4" hidden="1">3</definedName>
    <definedName name="solver_rel11" localSheetId="5" hidden="1">3</definedName>
    <definedName name="solver_rel11" localSheetId="2" hidden="1">1</definedName>
    <definedName name="solver_rel11" localSheetId="6" hidden="1">3</definedName>
    <definedName name="solver_rel110" localSheetId="7" hidden="1">1</definedName>
    <definedName name="solver_rel111" localSheetId="7" hidden="1">1</definedName>
    <definedName name="solver_rel112" localSheetId="7" hidden="1">1</definedName>
    <definedName name="solver_rel113" localSheetId="7" hidden="1">1</definedName>
    <definedName name="solver_rel114" localSheetId="7" hidden="1">1</definedName>
    <definedName name="solver_rel115" localSheetId="7" hidden="1">1</definedName>
    <definedName name="solver_rel116" localSheetId="7" hidden="1">1</definedName>
    <definedName name="solver_rel117" localSheetId="7" hidden="1">1</definedName>
    <definedName name="solver_rel118" localSheetId="7" hidden="1">1</definedName>
    <definedName name="solver_rel119" localSheetId="7" hidden="1">1</definedName>
    <definedName name="solver_rel12" localSheetId="7" hidden="1">2</definedName>
    <definedName name="solver_rel12" localSheetId="4" hidden="1">1</definedName>
    <definedName name="solver_rel12" localSheetId="5" hidden="1">1</definedName>
    <definedName name="solver_rel12" localSheetId="2" hidden="1">1</definedName>
    <definedName name="solver_rel12" localSheetId="6" hidden="1">1</definedName>
    <definedName name="solver_rel120" localSheetId="7" hidden="1">1</definedName>
    <definedName name="solver_rel121" localSheetId="7" hidden="1">1</definedName>
    <definedName name="solver_rel122" localSheetId="7" hidden="1">1</definedName>
    <definedName name="solver_rel123" localSheetId="7" hidden="1">1</definedName>
    <definedName name="solver_rel124" localSheetId="7" hidden="1">1</definedName>
    <definedName name="solver_rel125" localSheetId="7" hidden="1">1</definedName>
    <definedName name="solver_rel126" localSheetId="7" hidden="1">1</definedName>
    <definedName name="solver_rel127" localSheetId="7" hidden="1">1</definedName>
    <definedName name="solver_rel128" localSheetId="7" hidden="1">1</definedName>
    <definedName name="solver_rel129" localSheetId="7" hidden="1">1</definedName>
    <definedName name="solver_rel13" localSheetId="7" hidden="1">2</definedName>
    <definedName name="solver_rel13" localSheetId="4" hidden="1">4</definedName>
    <definedName name="solver_rel13" localSheetId="5" hidden="1">3</definedName>
    <definedName name="solver_rel13" localSheetId="2" hidden="1">2</definedName>
    <definedName name="solver_rel13" localSheetId="6" hidden="1">3</definedName>
    <definedName name="solver_rel130" localSheetId="7" hidden="1">1</definedName>
    <definedName name="solver_rel131" localSheetId="7" hidden="1">1</definedName>
    <definedName name="solver_rel132" localSheetId="7" hidden="1">1</definedName>
    <definedName name="solver_rel133" localSheetId="7" hidden="1">1</definedName>
    <definedName name="solver_rel134" localSheetId="7" hidden="1">1</definedName>
    <definedName name="solver_rel135" localSheetId="7" hidden="1">1</definedName>
    <definedName name="solver_rel136" localSheetId="7" hidden="1">1</definedName>
    <definedName name="solver_rel137" localSheetId="7" hidden="1">1</definedName>
    <definedName name="solver_rel138" localSheetId="7" hidden="1">1</definedName>
    <definedName name="solver_rel139" localSheetId="7" hidden="1">1</definedName>
    <definedName name="solver_rel14" localSheetId="7" hidden="1">2</definedName>
    <definedName name="solver_rel14" localSheetId="4" hidden="1">1</definedName>
    <definedName name="solver_rel14" localSheetId="5" hidden="1">1</definedName>
    <definedName name="solver_rel14" localSheetId="2" hidden="1">2</definedName>
    <definedName name="solver_rel14" localSheetId="6" hidden="1">1</definedName>
    <definedName name="solver_rel140" localSheetId="7" hidden="1">1</definedName>
    <definedName name="solver_rel141" localSheetId="7" hidden="1">1</definedName>
    <definedName name="solver_rel142" localSheetId="7" hidden="1">1</definedName>
    <definedName name="solver_rel143" localSheetId="7" hidden="1">1</definedName>
    <definedName name="solver_rel144" localSheetId="7" hidden="1">1</definedName>
    <definedName name="solver_rel145" localSheetId="7" hidden="1">1</definedName>
    <definedName name="solver_rel146" localSheetId="7" hidden="1">1</definedName>
    <definedName name="solver_rel147" localSheetId="7" hidden="1">1</definedName>
    <definedName name="solver_rel148" localSheetId="7" hidden="1">1</definedName>
    <definedName name="solver_rel149" localSheetId="7" hidden="1">1</definedName>
    <definedName name="solver_rel15" localSheetId="7" hidden="1">2</definedName>
    <definedName name="solver_rel15" localSheetId="4" hidden="1">1</definedName>
    <definedName name="solver_rel15" localSheetId="5" hidden="1">3</definedName>
    <definedName name="solver_rel15" localSheetId="2" hidden="1">2</definedName>
    <definedName name="solver_rel15" localSheetId="6" hidden="1">3</definedName>
    <definedName name="solver_rel150" localSheetId="7" hidden="1">1</definedName>
    <definedName name="solver_rel151" localSheetId="7" hidden="1">1</definedName>
    <definedName name="solver_rel152" localSheetId="7" hidden="1">1</definedName>
    <definedName name="solver_rel153" localSheetId="7" hidden="1">1</definedName>
    <definedName name="solver_rel154" localSheetId="7" hidden="1">1</definedName>
    <definedName name="solver_rel155" localSheetId="7" hidden="1">1</definedName>
    <definedName name="solver_rel156" localSheetId="7" hidden="1">1</definedName>
    <definedName name="solver_rel157" localSheetId="7" hidden="1">1</definedName>
    <definedName name="solver_rel158" localSheetId="7" hidden="1">1</definedName>
    <definedName name="solver_rel159" localSheetId="7" hidden="1">1</definedName>
    <definedName name="solver_rel16" localSheetId="7" hidden="1">2</definedName>
    <definedName name="solver_rel16" localSheetId="4" hidden="1">3</definedName>
    <definedName name="solver_rel16" localSheetId="5" hidden="1">1</definedName>
    <definedName name="solver_rel16" localSheetId="6" hidden="1">1</definedName>
    <definedName name="solver_rel160" localSheetId="7" hidden="1">1</definedName>
    <definedName name="solver_rel161" localSheetId="7" hidden="1">1</definedName>
    <definedName name="solver_rel162" localSheetId="7" hidden="1">1</definedName>
    <definedName name="solver_rel163" localSheetId="7" hidden="1">1</definedName>
    <definedName name="solver_rel164" localSheetId="7" hidden="1">1</definedName>
    <definedName name="solver_rel165" localSheetId="7" hidden="1">1</definedName>
    <definedName name="solver_rel166" localSheetId="7" hidden="1">1</definedName>
    <definedName name="solver_rel167" localSheetId="7" hidden="1">1</definedName>
    <definedName name="solver_rel168" localSheetId="7" hidden="1">1</definedName>
    <definedName name="solver_rel169" localSheetId="7" hidden="1">1</definedName>
    <definedName name="solver_rel17" localSheetId="7" hidden="1">2</definedName>
    <definedName name="solver_rel17" localSheetId="4" hidden="1">3</definedName>
    <definedName name="solver_rel17" localSheetId="5" hidden="1">3</definedName>
    <definedName name="solver_rel17" localSheetId="6" hidden="1">3</definedName>
    <definedName name="solver_rel170" localSheetId="7" hidden="1">1</definedName>
    <definedName name="solver_rel171" localSheetId="7" hidden="1">1</definedName>
    <definedName name="solver_rel172" localSheetId="7" hidden="1">1</definedName>
    <definedName name="solver_rel173" localSheetId="7" hidden="1">1</definedName>
    <definedName name="solver_rel174" localSheetId="7" hidden="1">1</definedName>
    <definedName name="solver_rel175" localSheetId="7" hidden="1">1</definedName>
    <definedName name="solver_rel176" localSheetId="7" hidden="1">1</definedName>
    <definedName name="solver_rel177" localSheetId="7" hidden="1">1</definedName>
    <definedName name="solver_rel178" localSheetId="7" hidden="1">1</definedName>
    <definedName name="solver_rel179" localSheetId="7" hidden="1">1</definedName>
    <definedName name="solver_rel18" localSheetId="7" hidden="1">2</definedName>
    <definedName name="solver_rel18" localSheetId="5" hidden="1">1</definedName>
    <definedName name="solver_rel18" localSheetId="6" hidden="1">1</definedName>
    <definedName name="solver_rel180" localSheetId="7" hidden="1">1</definedName>
    <definedName name="solver_rel181" localSheetId="7" hidden="1">1</definedName>
    <definedName name="solver_rel19" localSheetId="7" hidden="1">2</definedName>
    <definedName name="solver_rel19" localSheetId="5" hidden="1">3</definedName>
    <definedName name="solver_rel19" localSheetId="6" hidden="1">3</definedName>
    <definedName name="solver_rel2" localSheetId="7" hidden="1">1</definedName>
    <definedName name="solver_rel2" localSheetId="0" hidden="1">3</definedName>
    <definedName name="solver_rel2" localSheetId="1" hidden="1">3</definedName>
    <definedName name="solver_rel2" localSheetId="3" hidden="1">2</definedName>
    <definedName name="solver_rel2" localSheetId="4" hidden="1">1</definedName>
    <definedName name="solver_rel2" localSheetId="5" hidden="1">3</definedName>
    <definedName name="solver_rel2" localSheetId="2" hidden="1">3</definedName>
    <definedName name="solver_rel2" localSheetId="6" hidden="1">1</definedName>
    <definedName name="solver_rel20" localSheetId="7" hidden="1">2</definedName>
    <definedName name="solver_rel20" localSheetId="5" hidden="1">1</definedName>
    <definedName name="solver_rel20" localSheetId="6" hidden="1">1</definedName>
    <definedName name="solver_rel21" localSheetId="7" hidden="1">2</definedName>
    <definedName name="solver_rel21" localSheetId="5" hidden="1">3</definedName>
    <definedName name="solver_rel21" localSheetId="6" hidden="1">1</definedName>
    <definedName name="solver_rel22" localSheetId="7" hidden="1">2</definedName>
    <definedName name="solver_rel22" localSheetId="5" hidden="1">1</definedName>
    <definedName name="solver_rel22" localSheetId="6" hidden="1">1</definedName>
    <definedName name="solver_rel23" localSheetId="7" hidden="1">2</definedName>
    <definedName name="solver_rel23" localSheetId="5" hidden="1">3</definedName>
    <definedName name="solver_rel23" localSheetId="6" hidden="1">1</definedName>
    <definedName name="solver_rel24" localSheetId="7" hidden="1">2</definedName>
    <definedName name="solver_rel24" localSheetId="5" hidden="1">1</definedName>
    <definedName name="solver_rel24" localSheetId="6" hidden="1">1</definedName>
    <definedName name="solver_rel25" localSheetId="7" hidden="1">2</definedName>
    <definedName name="solver_rel25" localSheetId="5" hidden="1">3</definedName>
    <definedName name="solver_rel25" localSheetId="6" hidden="1">1</definedName>
    <definedName name="solver_rel26" localSheetId="7" hidden="1">2</definedName>
    <definedName name="solver_rel26" localSheetId="5" hidden="1">1</definedName>
    <definedName name="solver_rel26" localSheetId="6" hidden="1">1</definedName>
    <definedName name="solver_rel27" localSheetId="7" hidden="1">2</definedName>
    <definedName name="solver_rel27" localSheetId="5" hidden="1">1</definedName>
    <definedName name="solver_rel27" localSheetId="6" hidden="1">1</definedName>
    <definedName name="solver_rel28" localSheetId="7" hidden="1">2</definedName>
    <definedName name="solver_rel28" localSheetId="5" hidden="1">1</definedName>
    <definedName name="solver_rel28" localSheetId="6" hidden="1">1</definedName>
    <definedName name="solver_rel29" localSheetId="7" hidden="1">2</definedName>
    <definedName name="solver_rel29" localSheetId="5" hidden="1">1</definedName>
    <definedName name="solver_rel29" localSheetId="6" hidden="1">1</definedName>
    <definedName name="solver_rel3" localSheetId="7" hidden="1">3</definedName>
    <definedName name="solver_rel3" localSheetId="0" hidden="1">3</definedName>
    <definedName name="solver_rel3" localSheetId="1" hidden="1">1</definedName>
    <definedName name="solver_rel3" localSheetId="4" hidden="1">3</definedName>
    <definedName name="solver_rel3" localSheetId="5" hidden="1">1</definedName>
    <definedName name="solver_rel3" localSheetId="2" hidden="1">1</definedName>
    <definedName name="solver_rel3" localSheetId="6" hidden="1">3</definedName>
    <definedName name="solver_rel30" localSheetId="7" hidden="1">2</definedName>
    <definedName name="solver_rel30" localSheetId="5" hidden="1">1</definedName>
    <definedName name="solver_rel30" localSheetId="6" hidden="1">1</definedName>
    <definedName name="solver_rel31" localSheetId="7" hidden="1">2</definedName>
    <definedName name="solver_rel31" localSheetId="5" hidden="1">3</definedName>
    <definedName name="solver_rel31" localSheetId="6" hidden="1">2</definedName>
    <definedName name="solver_rel32" localSheetId="7" hidden="1">2</definedName>
    <definedName name="solver_rel32" localSheetId="5" hidden="1">1</definedName>
    <definedName name="solver_rel32" localSheetId="6" hidden="1">2</definedName>
    <definedName name="solver_rel33" localSheetId="7" hidden="1">2</definedName>
    <definedName name="solver_rel33" localSheetId="5" hidden="1">1</definedName>
    <definedName name="solver_rel33" localSheetId="6" hidden="1">2</definedName>
    <definedName name="solver_rel34" localSheetId="7" hidden="1">2</definedName>
    <definedName name="solver_rel34" localSheetId="5" hidden="1">1</definedName>
    <definedName name="solver_rel34" localSheetId="6" hidden="1">2</definedName>
    <definedName name="solver_rel35" localSheetId="7" hidden="1">2</definedName>
    <definedName name="solver_rel35" localSheetId="5" hidden="1">1</definedName>
    <definedName name="solver_rel35" localSheetId="6" hidden="1">2</definedName>
    <definedName name="solver_rel36" localSheetId="7" hidden="1">2</definedName>
    <definedName name="solver_rel36" localSheetId="6" hidden="1">2</definedName>
    <definedName name="solver_rel37" localSheetId="7" hidden="1">2</definedName>
    <definedName name="solver_rel37" localSheetId="6" hidden="1">2</definedName>
    <definedName name="solver_rel38" localSheetId="7" hidden="1">2</definedName>
    <definedName name="solver_rel38" localSheetId="6" hidden="1">2</definedName>
    <definedName name="solver_rel39" localSheetId="7" hidden="1">2</definedName>
    <definedName name="solver_rel39" localSheetId="6" hidden="1">2</definedName>
    <definedName name="solver_rel4" localSheetId="7" hidden="1">3</definedName>
    <definedName name="solver_rel4" localSheetId="0" hidden="1">3</definedName>
    <definedName name="solver_rel4" localSheetId="1" hidden="1">3</definedName>
    <definedName name="solver_rel4" localSheetId="4" hidden="1">3</definedName>
    <definedName name="solver_rel4" localSheetId="5" hidden="1">1</definedName>
    <definedName name="solver_rel4" localSheetId="2" hidden="1">3</definedName>
    <definedName name="solver_rel4" localSheetId="6" hidden="1">1</definedName>
    <definedName name="solver_rel40" localSheetId="7" hidden="1">2</definedName>
    <definedName name="solver_rel40" localSheetId="6" hidden="1">2</definedName>
    <definedName name="solver_rel41" localSheetId="7" hidden="1">2</definedName>
    <definedName name="solver_rel41" localSheetId="6" hidden="1">2</definedName>
    <definedName name="solver_rel42" localSheetId="7" hidden="1">2</definedName>
    <definedName name="solver_rel42" localSheetId="6" hidden="1">2</definedName>
    <definedName name="solver_rel43" localSheetId="7" hidden="1">2</definedName>
    <definedName name="solver_rel43" localSheetId="6" hidden="1">2</definedName>
    <definedName name="solver_rel44" localSheetId="7" hidden="1">2</definedName>
    <definedName name="solver_rel44" localSheetId="6" hidden="1">2</definedName>
    <definedName name="solver_rel45" localSheetId="7" hidden="1">2</definedName>
    <definedName name="solver_rel45" localSheetId="6" hidden="1">2</definedName>
    <definedName name="solver_rel46" localSheetId="7" hidden="1">2</definedName>
    <definedName name="solver_rel46" localSheetId="6" hidden="1">2</definedName>
    <definedName name="solver_rel47" localSheetId="7" hidden="1">2</definedName>
    <definedName name="solver_rel48" localSheetId="7" hidden="1">2</definedName>
    <definedName name="solver_rel49" localSheetId="7" hidden="1">2</definedName>
    <definedName name="solver_rel5" localSheetId="7" hidden="1">1</definedName>
    <definedName name="solver_rel5" localSheetId="0" hidden="1">3</definedName>
    <definedName name="solver_rel5" localSheetId="1" hidden="1">3</definedName>
    <definedName name="solver_rel5" localSheetId="4" hidden="1">3</definedName>
    <definedName name="solver_rel5" localSheetId="5" hidden="1">1</definedName>
    <definedName name="solver_rel5" localSheetId="2" hidden="1">1</definedName>
    <definedName name="solver_rel5" localSheetId="6" hidden="1">3</definedName>
    <definedName name="solver_rel50" localSheetId="7" hidden="1">2</definedName>
    <definedName name="solver_rel51" localSheetId="7" hidden="1">2</definedName>
    <definedName name="solver_rel52" localSheetId="7" hidden="1">2</definedName>
    <definedName name="solver_rel53" localSheetId="7" hidden="1">2</definedName>
    <definedName name="solver_rel54" localSheetId="7" hidden="1">3</definedName>
    <definedName name="solver_rel55" localSheetId="7" hidden="1">1</definedName>
    <definedName name="solver_rel56" localSheetId="7" hidden="1">3</definedName>
    <definedName name="solver_rel57" localSheetId="7" hidden="1">3</definedName>
    <definedName name="solver_rel58" localSheetId="7" hidden="1">1</definedName>
    <definedName name="solver_rel59" localSheetId="7" hidden="1">1</definedName>
    <definedName name="solver_rel6" localSheetId="7" hidden="1">1</definedName>
    <definedName name="solver_rel6" localSheetId="0" hidden="1">1</definedName>
    <definedName name="solver_rel6" localSheetId="1" hidden="1">3</definedName>
    <definedName name="solver_rel6" localSheetId="4" hidden="1">3</definedName>
    <definedName name="solver_rel6" localSheetId="5" hidden="1">3</definedName>
    <definedName name="solver_rel6" localSheetId="2" hidden="1">3</definedName>
    <definedName name="solver_rel6" localSheetId="6" hidden="1">1</definedName>
    <definedName name="solver_rel60" localSheetId="7" hidden="1">3</definedName>
    <definedName name="solver_rel61" localSheetId="7" hidden="1">1</definedName>
    <definedName name="solver_rel62" localSheetId="7" hidden="1">1</definedName>
    <definedName name="solver_rel63" localSheetId="7" hidden="1">3</definedName>
    <definedName name="solver_rel64" localSheetId="7" hidden="1">3</definedName>
    <definedName name="solver_rel65" localSheetId="7" hidden="1">3</definedName>
    <definedName name="solver_rel66" localSheetId="7" hidden="1">1</definedName>
    <definedName name="solver_rel67" localSheetId="7" hidden="1">1</definedName>
    <definedName name="solver_rel68" localSheetId="7" hidden="1">3</definedName>
    <definedName name="solver_rel69" localSheetId="7" hidden="1">3</definedName>
    <definedName name="solver_rel7" localSheetId="7" hidden="1">3</definedName>
    <definedName name="solver_rel7" localSheetId="0" hidden="1">1</definedName>
    <definedName name="solver_rel7" localSheetId="4" hidden="1">1</definedName>
    <definedName name="solver_rel7" localSheetId="5" hidden="1">3</definedName>
    <definedName name="solver_rel7" localSheetId="2" hidden="1">1</definedName>
    <definedName name="solver_rel7" localSheetId="6" hidden="1">1</definedName>
    <definedName name="solver_rel70" localSheetId="7" hidden="1">1</definedName>
    <definedName name="solver_rel71" localSheetId="7" hidden="1">3</definedName>
    <definedName name="solver_rel72" localSheetId="7" hidden="1">1</definedName>
    <definedName name="solver_rel73" localSheetId="7" hidden="1">3</definedName>
    <definedName name="solver_rel74" localSheetId="7" hidden="1">3</definedName>
    <definedName name="solver_rel75" localSheetId="7" hidden="1">1</definedName>
    <definedName name="solver_rel76" localSheetId="7" hidden="1">1</definedName>
    <definedName name="solver_rel77" localSheetId="7" hidden="1">1</definedName>
    <definedName name="solver_rel78" localSheetId="7" hidden="1">3</definedName>
    <definedName name="solver_rel79" localSheetId="7" hidden="1">1</definedName>
    <definedName name="solver_rel8" localSheetId="7" hidden="1">2</definedName>
    <definedName name="solver_rel8" localSheetId="0" hidden="1">1</definedName>
    <definedName name="solver_rel8" localSheetId="4" hidden="1">3</definedName>
    <definedName name="solver_rel8" localSheetId="5" hidden="1">3</definedName>
    <definedName name="solver_rel8" localSheetId="2" hidden="1">1</definedName>
    <definedName name="solver_rel8" localSheetId="6" hidden="1">3</definedName>
    <definedName name="solver_rel80" localSheetId="7" hidden="1">3</definedName>
    <definedName name="solver_rel81" localSheetId="7" hidden="1">3</definedName>
    <definedName name="solver_rel82" localSheetId="7" hidden="1">3</definedName>
    <definedName name="solver_rel83" localSheetId="7" hidden="1">1</definedName>
    <definedName name="solver_rel84" localSheetId="7" hidden="1">3</definedName>
    <definedName name="solver_rel85" localSheetId="7" hidden="1">1</definedName>
    <definedName name="solver_rel86" localSheetId="7" hidden="1">2</definedName>
    <definedName name="solver_rel87" localSheetId="7" hidden="1">1</definedName>
    <definedName name="solver_rel88" localSheetId="7" hidden="1">1</definedName>
    <definedName name="solver_rel89" localSheetId="7" hidden="1">2</definedName>
    <definedName name="solver_rel9" localSheetId="7" hidden="1">2</definedName>
    <definedName name="solver_rel9" localSheetId="0" hidden="1">3</definedName>
    <definedName name="solver_rel9" localSheetId="4" hidden="1">4</definedName>
    <definedName name="solver_rel9" localSheetId="5" hidden="1">1</definedName>
    <definedName name="solver_rel9" localSheetId="2" hidden="1">1</definedName>
    <definedName name="solver_rel9" localSheetId="6" hidden="1">3</definedName>
    <definedName name="solver_rel90" localSheetId="7" hidden="1">1</definedName>
    <definedName name="solver_rel91" localSheetId="7" hidden="1">2</definedName>
    <definedName name="solver_rel92" localSheetId="7" hidden="1">1</definedName>
    <definedName name="solver_rel93" localSheetId="7" hidden="1">1</definedName>
    <definedName name="solver_rel94" localSheetId="7" hidden="1">1</definedName>
    <definedName name="solver_rel95" localSheetId="7" hidden="1">1</definedName>
    <definedName name="solver_rel96" localSheetId="7" hidden="1">1</definedName>
    <definedName name="solver_rel97" localSheetId="7" hidden="1">1</definedName>
    <definedName name="solver_rel98" localSheetId="7" hidden="1">1</definedName>
    <definedName name="solver_rel99" localSheetId="7" hidden="1">1</definedName>
    <definedName name="solver_rhs1" localSheetId="7" hidden="1">0</definedName>
    <definedName name="solver_rhs1" localSheetId="0" hidden="1">0</definedName>
    <definedName name="solver_rhs1" localSheetId="1" hidden="1">'h.w-2'!$B$6</definedName>
    <definedName name="solver_rhs1" localSheetId="3" hidden="1">0</definedName>
    <definedName name="solver_rhs1" localSheetId="4" hidden="1">'tir-soton'!$D$13</definedName>
    <definedName name="solver_rhs1" localSheetId="5" hidden="1">'tir-varagh'!$D$47</definedName>
    <definedName name="solver_rhs1" localSheetId="2" hidden="1">'Truss-Optimization-1'!$E$5</definedName>
    <definedName name="solver_rhs1" localSheetId="6" hidden="1">'TRUSS-optimzation-2'!$D$5</definedName>
    <definedName name="solver_rhs10" localSheetId="7" hidden="1">0</definedName>
    <definedName name="solver_rhs10" localSheetId="4" hidden="1">'tir-soton'!$D$6</definedName>
    <definedName name="solver_rhs10" localSheetId="5" hidden="1">'tir-varagh'!$D$62</definedName>
    <definedName name="solver_rhs10" localSheetId="2" hidden="1">'Truss-Optimization-1'!$M$23</definedName>
    <definedName name="solver_rhs10" localSheetId="6" hidden="1">'TRUSS-optimzation-2'!$E$9</definedName>
    <definedName name="solver_rhs100" localSheetId="7" hidden="1">1</definedName>
    <definedName name="solver_rhs101" localSheetId="7" hidden="1">'Gable Frame'!$B$18</definedName>
    <definedName name="solver_rhs102" localSheetId="7" hidden="1">'Gable Frame'!$B$19</definedName>
    <definedName name="solver_rhs103" localSheetId="7" hidden="1">'Gable Frame'!$B$20</definedName>
    <definedName name="solver_rhs104" localSheetId="7" hidden="1">'Gable Frame'!$B$19</definedName>
    <definedName name="solver_rhs105" localSheetId="7" hidden="1">'Gable Frame'!$B$18</definedName>
    <definedName name="solver_rhs106" localSheetId="7" hidden="1">1</definedName>
    <definedName name="solver_rhs107" localSheetId="7" hidden="1">1</definedName>
    <definedName name="solver_rhs108" localSheetId="7" hidden="1">1</definedName>
    <definedName name="solver_rhs109" localSheetId="7" hidden="1">1</definedName>
    <definedName name="solver_rhs11" localSheetId="7" hidden="1">0</definedName>
    <definedName name="solver_rhs11" localSheetId="4" hidden="1">'tir-soton'!$B$5</definedName>
    <definedName name="solver_rhs11" localSheetId="5" hidden="1">'tir-varagh'!$B$12</definedName>
    <definedName name="solver_rhs11" localSheetId="2" hidden="1">'Truss-Optimization-1'!$M$22</definedName>
    <definedName name="solver_rhs11" localSheetId="6" hidden="1">'TRUSS-optimzation-2'!$D$10</definedName>
    <definedName name="solver_rhs110" localSheetId="7" hidden="1">1</definedName>
    <definedName name="solver_rhs111" localSheetId="7" hidden="1">1</definedName>
    <definedName name="solver_rhs112" localSheetId="7" hidden="1">1</definedName>
    <definedName name="solver_rhs113" localSheetId="7" hidden="1">1</definedName>
    <definedName name="solver_rhs114" localSheetId="7" hidden="1">1</definedName>
    <definedName name="solver_rhs115" localSheetId="7" hidden="1">1</definedName>
    <definedName name="solver_rhs116" localSheetId="7" hidden="1">1</definedName>
    <definedName name="solver_rhs117" localSheetId="7" hidden="1">1</definedName>
    <definedName name="solver_rhs118" localSheetId="7" hidden="1">1</definedName>
    <definedName name="solver_rhs119" localSheetId="7" hidden="1">1</definedName>
    <definedName name="solver_rhs12" localSheetId="7" hidden="1">0</definedName>
    <definedName name="solver_rhs12" localSheetId="4" hidden="1">0</definedName>
    <definedName name="solver_rhs12" localSheetId="5" hidden="1">'tir-varagh'!$B$13</definedName>
    <definedName name="solver_rhs12" localSheetId="2" hidden="1">'Truss-Optimization-1'!$M$21</definedName>
    <definedName name="solver_rhs12" localSheetId="6" hidden="1">'TRUSS-optimzation-2'!$E$10</definedName>
    <definedName name="solver_rhs120" localSheetId="7" hidden="1">1</definedName>
    <definedName name="solver_rhs121" localSheetId="7" hidden="1">1</definedName>
    <definedName name="solver_rhs122" localSheetId="7" hidden="1">1</definedName>
    <definedName name="solver_rhs123" localSheetId="7" hidden="1">1</definedName>
    <definedName name="solver_rhs124" localSheetId="7" hidden="1">1</definedName>
    <definedName name="solver_rhs125" localSheetId="7" hidden="1">0.15</definedName>
    <definedName name="solver_rhs126" localSheetId="7" hidden="1">1</definedName>
    <definedName name="solver_rhs127" localSheetId="7" hidden="1">1</definedName>
    <definedName name="solver_rhs128" localSheetId="7" hidden="1">1</definedName>
    <definedName name="solver_rhs129" localSheetId="7" hidden="1">0.15</definedName>
    <definedName name="solver_rhs13" localSheetId="7" hidden="1">0</definedName>
    <definedName name="solver_rhs13" localSheetId="4" hidden="1">integer</definedName>
    <definedName name="solver_rhs13" localSheetId="5" hidden="1">'tir-varagh'!$D$12</definedName>
    <definedName name="solver_rhs13" localSheetId="2" hidden="1">0</definedName>
    <definedName name="solver_rhs13" localSheetId="6" hidden="1">'TRUSS-optimzation-2'!$D$11</definedName>
    <definedName name="solver_rhs130" localSheetId="7" hidden="1">1</definedName>
    <definedName name="solver_rhs131" localSheetId="7" hidden="1">1</definedName>
    <definedName name="solver_rhs132" localSheetId="7" hidden="1">1</definedName>
    <definedName name="solver_rhs133" localSheetId="7" hidden="1">1</definedName>
    <definedName name="solver_rhs134" localSheetId="7" hidden="1">0.15</definedName>
    <definedName name="solver_rhs135" localSheetId="7" hidden="1">1</definedName>
    <definedName name="solver_rhs136" localSheetId="7" hidden="1">1</definedName>
    <definedName name="solver_rhs137" localSheetId="7" hidden="1">1</definedName>
    <definedName name="solver_rhs138" localSheetId="7" hidden="1">1</definedName>
    <definedName name="solver_rhs139" localSheetId="7" hidden="1">1</definedName>
    <definedName name="solver_rhs14" localSheetId="7" hidden="1">0</definedName>
    <definedName name="solver_rhs14" localSheetId="4" hidden="1">'tir-soton'!$D$8</definedName>
    <definedName name="solver_rhs14" localSheetId="5" hidden="1">'tir-varagh'!$D$13</definedName>
    <definedName name="solver_rhs14" localSheetId="2" hidden="1">0</definedName>
    <definedName name="solver_rhs14" localSheetId="6" hidden="1">'TRUSS-optimzation-2'!$E$11</definedName>
    <definedName name="solver_rhs140" localSheetId="7" hidden="1">0.15</definedName>
    <definedName name="solver_rhs141" localSheetId="7" hidden="1">0.15</definedName>
    <definedName name="solver_rhs142" localSheetId="7" hidden="1">1</definedName>
    <definedName name="solver_rhs143" localSheetId="7" hidden="1">1</definedName>
    <definedName name="solver_rhs144" localSheetId="7" hidden="1">0.15</definedName>
    <definedName name="solver_rhs145" localSheetId="7" hidden="1">1</definedName>
    <definedName name="solver_rhs146" localSheetId="7" hidden="1">0.15</definedName>
    <definedName name="solver_rhs147" localSheetId="7" hidden="1">1</definedName>
    <definedName name="solver_rhs148" localSheetId="7" hidden="1">1</definedName>
    <definedName name="solver_rhs149" localSheetId="7" hidden="1">1</definedName>
    <definedName name="solver_rhs15" localSheetId="7" hidden="1">0</definedName>
    <definedName name="solver_rhs15" localSheetId="4" hidden="1">'tir-soton'!$B$8</definedName>
    <definedName name="solver_rhs15" localSheetId="5" hidden="1">'tir-varagh'!$H$12</definedName>
    <definedName name="solver_rhs15" localSheetId="2" hidden="1">0</definedName>
    <definedName name="solver_rhs15" localSheetId="6" hidden="1">'TRUSS-optimzation-2'!$D$12</definedName>
    <definedName name="solver_rhs150" localSheetId="7" hidden="1">1</definedName>
    <definedName name="solver_rhs151" localSheetId="7" hidden="1">1</definedName>
    <definedName name="solver_rhs152" localSheetId="7" hidden="1">0.15</definedName>
    <definedName name="solver_rhs153" localSheetId="7" hidden="1">0.15</definedName>
    <definedName name="solver_rhs154" localSheetId="7" hidden="1">1</definedName>
    <definedName name="solver_rhs155" localSheetId="7" hidden="1">0.15</definedName>
    <definedName name="solver_rhs156" localSheetId="7" hidden="1">1</definedName>
    <definedName name="solver_rhs157" localSheetId="7" hidden="1">1</definedName>
    <definedName name="solver_rhs158" localSheetId="7" hidden="1">0.15</definedName>
    <definedName name="solver_rhs159" localSheetId="7" hidden="1">1</definedName>
    <definedName name="solver_rhs16" localSheetId="7" hidden="1">0</definedName>
    <definedName name="solver_rhs16" localSheetId="4" hidden="1">'tir-soton'!$B$8</definedName>
    <definedName name="solver_rhs16" localSheetId="5" hidden="1">'tir-varagh'!$H$13</definedName>
    <definedName name="solver_rhs16" localSheetId="6" hidden="1">'TRUSS-optimzation-2'!$E$12</definedName>
    <definedName name="solver_rhs160" localSheetId="7" hidden="1">1</definedName>
    <definedName name="solver_rhs161" localSheetId="7" hidden="1">1</definedName>
    <definedName name="solver_rhs162" localSheetId="7" hidden="1">1</definedName>
    <definedName name="solver_rhs163" localSheetId="7" hidden="1">1</definedName>
    <definedName name="solver_rhs164" localSheetId="7" hidden="1">0.15</definedName>
    <definedName name="solver_rhs165" localSheetId="7" hidden="1">1</definedName>
    <definedName name="solver_rhs166" localSheetId="7" hidden="1">1</definedName>
    <definedName name="solver_rhs167" localSheetId="7" hidden="1">1</definedName>
    <definedName name="solver_rhs168" localSheetId="7" hidden="1">1</definedName>
    <definedName name="solver_rhs169" localSheetId="7" hidden="1">1</definedName>
    <definedName name="solver_rhs17" localSheetId="7" hidden="1">0</definedName>
    <definedName name="solver_rhs17" localSheetId="4" hidden="1">'tir-soton'!$D$7</definedName>
    <definedName name="solver_rhs17" localSheetId="5" hidden="1">'tir-varagh'!$B$14</definedName>
    <definedName name="solver_rhs17" localSheetId="6" hidden="1">'TRUSS-optimzation-2'!$D$13</definedName>
    <definedName name="solver_rhs170" localSheetId="7" hidden="1">0.15</definedName>
    <definedName name="solver_rhs171" localSheetId="7" hidden="1">1</definedName>
    <definedName name="solver_rhs172" localSheetId="7" hidden="1">1</definedName>
    <definedName name="solver_rhs173" localSheetId="7" hidden="1">'Gable Frame'!$AR$181</definedName>
    <definedName name="solver_rhs174" localSheetId="7" hidden="1">1</definedName>
    <definedName name="solver_rhs175" localSheetId="7" hidden="1">1</definedName>
    <definedName name="solver_rhs176" localSheetId="7" hidden="1">0.15</definedName>
    <definedName name="solver_rhs177" localSheetId="7" hidden="1">1</definedName>
    <definedName name="solver_rhs178" localSheetId="7" hidden="1">1</definedName>
    <definedName name="solver_rhs179" localSheetId="7" hidden="1">'Gable Frame'!$AR$190</definedName>
    <definedName name="solver_rhs18" localSheetId="7" hidden="1">0</definedName>
    <definedName name="solver_rhs18" localSheetId="5" hidden="1">'tir-varagh'!$B$15</definedName>
    <definedName name="solver_rhs18" localSheetId="6" hidden="1">'TRUSS-optimzation-2'!$E$13</definedName>
    <definedName name="solver_rhs180" localSheetId="7" hidden="1">'Gable Frame'!$AR$191</definedName>
    <definedName name="solver_rhs181" localSheetId="7" hidden="1">1</definedName>
    <definedName name="solver_rhs19" localSheetId="7" hidden="1">0</definedName>
    <definedName name="solver_rhs19" localSheetId="5" hidden="1">'tir-varagh'!$D$14</definedName>
    <definedName name="solver_rhs19" localSheetId="6" hidden="1">'TRUSS-optimzation-2'!$D$14</definedName>
    <definedName name="solver_rhs2" localSheetId="7" hidden="1">1</definedName>
    <definedName name="solver_rhs2" localSheetId="0" hidden="1">0</definedName>
    <definedName name="solver_rhs2" localSheetId="1" hidden="1">'h.w-2'!$B$5</definedName>
    <definedName name="solver_rhs2" localSheetId="3" hidden="1">0</definedName>
    <definedName name="solver_rhs2" localSheetId="4" hidden="1">'tir-soton'!$D$14</definedName>
    <definedName name="solver_rhs2" localSheetId="5" hidden="1">'tir-varagh'!$D$32</definedName>
    <definedName name="solver_rhs2" localSheetId="2" hidden="1">'Truss-Optimization-1'!$D$5</definedName>
    <definedName name="solver_rhs2" localSheetId="6" hidden="1">'TRUSS-optimzation-2'!$E$5</definedName>
    <definedName name="solver_rhs20" localSheetId="7" hidden="1">0</definedName>
    <definedName name="solver_rhs20" localSheetId="5" hidden="1">'tir-varagh'!$D$15</definedName>
    <definedName name="solver_rhs20" localSheetId="6" hidden="1">'TRUSS-optimzation-2'!$E$14</definedName>
    <definedName name="solver_rhs21" localSheetId="7" hidden="1">0</definedName>
    <definedName name="solver_rhs21" localSheetId="5" hidden="1">'tir-varagh'!$F$14</definedName>
    <definedName name="solver_rhs21" localSheetId="6" hidden="1">'TRUSS-optimzation-2'!$M$41</definedName>
    <definedName name="solver_rhs22" localSheetId="7" hidden="1">0</definedName>
    <definedName name="solver_rhs22" localSheetId="5" hidden="1">'tir-varagh'!$F$15</definedName>
    <definedName name="solver_rhs22" localSheetId="6" hidden="1">'TRUSS-optimzation-2'!$M$32</definedName>
    <definedName name="solver_rhs23" localSheetId="7" hidden="1">0</definedName>
    <definedName name="solver_rhs23" localSheetId="5" hidden="1">'tir-varagh'!$H$14</definedName>
    <definedName name="solver_rhs23" localSheetId="6" hidden="1">'TRUSS-optimzation-2'!$M$33</definedName>
    <definedName name="solver_rhs24" localSheetId="7" hidden="1">0</definedName>
    <definedName name="solver_rhs24" localSheetId="5" hidden="1">'tir-varagh'!$H$15</definedName>
    <definedName name="solver_rhs24" localSheetId="6" hidden="1">'TRUSS-optimzation-2'!$M$34</definedName>
    <definedName name="solver_rhs25" localSheetId="7" hidden="1">0</definedName>
    <definedName name="solver_rhs25" localSheetId="5" hidden="1">'tir-varagh'!$F$16</definedName>
    <definedName name="solver_rhs25" localSheetId="6" hidden="1">'TRUSS-optimzation-2'!$M$35</definedName>
    <definedName name="solver_rhs26" localSheetId="7" hidden="1">0</definedName>
    <definedName name="solver_rhs26" localSheetId="5" hidden="1">'tir-varagh'!$D$31</definedName>
    <definedName name="solver_rhs26" localSheetId="6" hidden="1">'TRUSS-optimzation-2'!$M$36</definedName>
    <definedName name="solver_rhs27" localSheetId="7" hidden="1">0</definedName>
    <definedName name="solver_rhs27" localSheetId="5" hidden="1">'tir-varagh'!$D$50</definedName>
    <definedName name="solver_rhs27" localSheetId="6" hidden="1">'TRUSS-optimzation-2'!$M$37</definedName>
    <definedName name="solver_rhs28" localSheetId="7" hidden="1">0</definedName>
    <definedName name="solver_rhs28" localSheetId="5" hidden="1">'tir-varagh'!$D$26</definedName>
    <definedName name="solver_rhs28" localSheetId="6" hidden="1">'TRUSS-optimzation-2'!$M$38</definedName>
    <definedName name="solver_rhs29" localSheetId="7" hidden="1">0</definedName>
    <definedName name="solver_rhs29" localSheetId="5" hidden="1">'tir-varagh'!$D$28</definedName>
    <definedName name="solver_rhs29" localSheetId="6" hidden="1">'TRUSS-optimzation-2'!$M$39</definedName>
    <definedName name="solver_rhs3" localSheetId="7" hidden="1">'Gable Frame'!$C$17</definedName>
    <definedName name="solver_rhs3" localSheetId="0" hidden="1">0</definedName>
    <definedName name="solver_rhs3" localSheetId="1" hidden="1">'h.w-2'!$B$8</definedName>
    <definedName name="solver_rhs3" localSheetId="4" hidden="1">'tir-soton'!$B$1</definedName>
    <definedName name="solver_rhs3" localSheetId="5" hidden="1">'tir-varagh'!$D$25</definedName>
    <definedName name="solver_rhs3" localSheetId="2" hidden="1">'Truss-Optimization-1'!$E$6</definedName>
    <definedName name="solver_rhs3" localSheetId="6" hidden="1">'TRUSS-optimzation-2'!$D$6</definedName>
    <definedName name="solver_rhs30" localSheetId="7" hidden="1">0</definedName>
    <definedName name="solver_rhs30" localSheetId="5" hidden="1">'tir-varagh'!$D$30</definedName>
    <definedName name="solver_rhs30" localSheetId="6" hidden="1">'TRUSS-optimzation-2'!$M$40</definedName>
    <definedName name="solver_rhs31" localSheetId="7" hidden="1">0</definedName>
    <definedName name="solver_rhs31" localSheetId="5" hidden="1">'tir-varagh'!$D$37</definedName>
    <definedName name="solver_rhs31" localSheetId="6" hidden="1">0</definedName>
    <definedName name="solver_rhs32" localSheetId="7" hidden="1">0</definedName>
    <definedName name="solver_rhs32" localSheetId="5" hidden="1">'tir-varagh'!$D$23</definedName>
    <definedName name="solver_rhs32" localSheetId="6" hidden="1">0</definedName>
    <definedName name="solver_rhs33" localSheetId="7" hidden="1">0</definedName>
    <definedName name="solver_rhs33" localSheetId="5" hidden="1">'tir-varagh'!$D$25</definedName>
    <definedName name="solver_rhs33" localSheetId="6" hidden="1">0</definedName>
    <definedName name="solver_rhs34" localSheetId="7" hidden="1">0</definedName>
    <definedName name="solver_rhs34" localSheetId="5" hidden="1">'tir-varagh'!#REF!</definedName>
    <definedName name="solver_rhs34" localSheetId="6" hidden="1">0</definedName>
    <definedName name="solver_rhs35" localSheetId="7" hidden="1">0</definedName>
    <definedName name="solver_rhs35" localSheetId="5" hidden="1">'tir-varagh'!#REF!</definedName>
    <definedName name="solver_rhs35" localSheetId="6" hidden="1">0</definedName>
    <definedName name="solver_rhs36" localSheetId="7" hidden="1">0</definedName>
    <definedName name="solver_rhs36" localSheetId="6" hidden="1">0</definedName>
    <definedName name="solver_rhs37" localSheetId="7" hidden="1">0</definedName>
    <definedName name="solver_rhs37" localSheetId="6" hidden="1">0</definedName>
    <definedName name="solver_rhs38" localSheetId="7" hidden="1">0</definedName>
    <definedName name="solver_rhs38" localSheetId="6" hidden="1">0</definedName>
    <definedName name="solver_rhs39" localSheetId="7" hidden="1">0</definedName>
    <definedName name="solver_rhs39" localSheetId="6" hidden="1">0</definedName>
    <definedName name="solver_rhs4" localSheetId="7" hidden="1">'Gable Frame'!$C$22</definedName>
    <definedName name="solver_rhs4" localSheetId="0" hidden="1">'h.w-1'!$A$10</definedName>
    <definedName name="solver_rhs4" localSheetId="1" hidden="1">'h.w-2'!$B$7</definedName>
    <definedName name="solver_rhs4" localSheetId="4" hidden="1">'tir-soton'!$B$15</definedName>
    <definedName name="solver_rhs4" localSheetId="5" hidden="1">'tir-varagh'!$D$39</definedName>
    <definedName name="solver_rhs4" localSheetId="2" hidden="1">'Truss-Optimization-1'!$D$6</definedName>
    <definedName name="solver_rhs4" localSheetId="6" hidden="1">'TRUSS-optimzation-2'!$E$6</definedName>
    <definedName name="solver_rhs40" localSheetId="7" hidden="1">0</definedName>
    <definedName name="solver_rhs40" localSheetId="6" hidden="1">0</definedName>
    <definedName name="solver_rhs41" localSheetId="7" hidden="1">0</definedName>
    <definedName name="solver_rhs41" localSheetId="6" hidden="1">0</definedName>
    <definedName name="solver_rhs42" localSheetId="7" hidden="1">0</definedName>
    <definedName name="solver_rhs42" localSheetId="6" hidden="1">0</definedName>
    <definedName name="solver_rhs43" localSheetId="7" hidden="1">0</definedName>
    <definedName name="solver_rhs43" localSheetId="6" hidden="1">0</definedName>
    <definedName name="solver_rhs44" localSheetId="7" hidden="1">0</definedName>
    <definedName name="solver_rhs44" localSheetId="6" hidden="1">0</definedName>
    <definedName name="solver_rhs45" localSheetId="7" hidden="1">0</definedName>
    <definedName name="solver_rhs45" localSheetId="6" hidden="1">0</definedName>
    <definedName name="solver_rhs46" localSheetId="7" hidden="1">0</definedName>
    <definedName name="solver_rhs46" localSheetId="6" hidden="1">0</definedName>
    <definedName name="solver_rhs47" localSheetId="7" hidden="1">0</definedName>
    <definedName name="solver_rhs48" localSheetId="7" hidden="1">0</definedName>
    <definedName name="solver_rhs49" localSheetId="7" hidden="1">0</definedName>
    <definedName name="solver_rhs5" localSheetId="7" hidden="1">'Gable Frame'!$D$23</definedName>
    <definedName name="solver_rhs5" localSheetId="0" hidden="1">'h.w-1'!$B$11</definedName>
    <definedName name="solver_rhs5" localSheetId="1" hidden="1">'h.w-2'!$B$11</definedName>
    <definedName name="solver_rhs5" localSheetId="4" hidden="1">'tir-soton'!$B$15</definedName>
    <definedName name="solver_rhs5" localSheetId="5" hidden="1">'tir-varagh'!$H$16</definedName>
    <definedName name="solver_rhs5" localSheetId="2" hidden="1">'Truss-Optimization-1'!$E$7</definedName>
    <definedName name="solver_rhs5" localSheetId="6" hidden="1">'TRUSS-optimzation-2'!$D$7</definedName>
    <definedName name="solver_rhs50" localSheetId="7" hidden="1">0</definedName>
    <definedName name="solver_rhs51" localSheetId="7" hidden="1">0</definedName>
    <definedName name="solver_rhs52" localSheetId="7" hidden="1">0</definedName>
    <definedName name="solver_rhs53" localSheetId="7" hidden="1">0</definedName>
    <definedName name="solver_rhs54" localSheetId="7" hidden="1">'Gable Frame'!$C$7</definedName>
    <definedName name="solver_rhs55" localSheetId="7" hidden="1">'Gable Frame'!$D$9</definedName>
    <definedName name="solver_rhs56" localSheetId="7" hidden="1">'Gable Frame'!$C$8</definedName>
    <definedName name="solver_rhs57" localSheetId="7" hidden="1">'Gable Frame'!$C$9</definedName>
    <definedName name="solver_rhs58" localSheetId="7" hidden="1">'Gable Frame'!$D$7</definedName>
    <definedName name="solver_rhs59" localSheetId="7" hidden="1">'Gable Frame'!$D$8</definedName>
    <definedName name="solver_rhs6" localSheetId="7" hidden="1">'Gable Frame'!$D$25</definedName>
    <definedName name="solver_rhs6" localSheetId="0" hidden="1">'h.w-1'!$B$14</definedName>
    <definedName name="solver_rhs6" localSheetId="1" hidden="1">'h.w-2'!$D$14</definedName>
    <definedName name="solver_rhs6" localSheetId="4" hidden="1">'tir-soton'!$D$5</definedName>
    <definedName name="solver_rhs6" localSheetId="5" hidden="1">'tir-varagh'!$D$52</definedName>
    <definedName name="solver_rhs6" localSheetId="2" hidden="1">'Truss-Optimization-1'!$D$7</definedName>
    <definedName name="solver_rhs6" localSheetId="6" hidden="1">'TRUSS-optimzation-2'!$E$7</definedName>
    <definedName name="solver_rhs60" localSheetId="7" hidden="1">'Gable Frame'!$C$10</definedName>
    <definedName name="solver_rhs61" localSheetId="7" hidden="1">1</definedName>
    <definedName name="solver_rhs62" localSheetId="7" hidden="1">'Gable Frame'!$D$13</definedName>
    <definedName name="solver_rhs63" localSheetId="7" hidden="1">'Gable Frame'!$C$12</definedName>
    <definedName name="solver_rhs64" localSheetId="7" hidden="1">'Gable Frame'!$D$19</definedName>
    <definedName name="solver_rhs65" localSheetId="7" hidden="1">'Gable Frame'!$C$21</definedName>
    <definedName name="solver_rhs66" localSheetId="7" hidden="1">'Gable Frame'!$D$22</definedName>
    <definedName name="solver_rhs67" localSheetId="7" hidden="1">'Gable Frame'!$D$24</definedName>
    <definedName name="solver_rhs68" localSheetId="7" hidden="1">'Gable Frame'!$C$23</definedName>
    <definedName name="solver_rhs69" localSheetId="7" hidden="1">'Gable Frame'!$C$24</definedName>
    <definedName name="solver_rhs7" localSheetId="7" hidden="1">'Gable Frame'!$C$25</definedName>
    <definedName name="solver_rhs7" localSheetId="0" hidden="1">'h.w-1'!$B$12</definedName>
    <definedName name="solver_rhs7" localSheetId="4" hidden="1">'tir-soton'!$B$6</definedName>
    <definedName name="solver_rhs7" localSheetId="5" hidden="1">'tir-varagh'!$D$54</definedName>
    <definedName name="solver_rhs7" localSheetId="2" hidden="1">'Truss-Optimization-1'!$M$22</definedName>
    <definedName name="solver_rhs7" localSheetId="6" hidden="1">'TRUSS-optimzation-2'!$E$8</definedName>
    <definedName name="solver_rhs70" localSheetId="7" hidden="1">'Gable Frame'!$D$20</definedName>
    <definedName name="solver_rhs71" localSheetId="7" hidden="1">'Gable Frame'!$C$20</definedName>
    <definedName name="solver_rhs72" localSheetId="7" hidden="1">'Gable Frame'!$D$21</definedName>
    <definedName name="solver_rhs73" localSheetId="7" hidden="1">'Gable Frame'!$C$19</definedName>
    <definedName name="solver_rhs74" localSheetId="7" hidden="1">'Gable Frame'!$C$18</definedName>
    <definedName name="solver_rhs75" localSheetId="7" hidden="1">'Gable Frame'!$D$17</definedName>
    <definedName name="solver_rhs76" localSheetId="7" hidden="1">'Gable Frame'!$D$18</definedName>
    <definedName name="solver_rhs77" localSheetId="7" hidden="1">'Gable Frame'!$D$16</definedName>
    <definedName name="solver_rhs78" localSheetId="7" hidden="1">'Gable Frame'!$C$16</definedName>
    <definedName name="solver_rhs79" localSheetId="7" hidden="1">'Gable Frame'!$D$15</definedName>
    <definedName name="solver_rhs8" localSheetId="7" hidden="1">0</definedName>
    <definedName name="solver_rhs8" localSheetId="0" hidden="1">0</definedName>
    <definedName name="solver_rhs8" localSheetId="4" hidden="1">'tir-soton'!$D$7</definedName>
    <definedName name="solver_rhs8" localSheetId="5" hidden="1">'tir-varagh'!$D$58</definedName>
    <definedName name="solver_rhs8" localSheetId="2" hidden="1">'Truss-Optimization-1'!$M$23</definedName>
    <definedName name="solver_rhs8" localSheetId="6" hidden="1">'TRUSS-optimzation-2'!$D$8</definedName>
    <definedName name="solver_rhs80" localSheetId="7" hidden="1">'Gable Frame'!$C$15</definedName>
    <definedName name="solver_rhs81" localSheetId="7" hidden="1">'Gable Frame'!$C$14</definedName>
    <definedName name="solver_rhs82" localSheetId="7" hidden="1">'Gable Frame'!$C$13</definedName>
    <definedName name="solver_rhs83" localSheetId="7" hidden="1">'Gable Frame'!$D$14</definedName>
    <definedName name="solver_rhs84" localSheetId="7" hidden="1">'Gable Frame'!$C$11</definedName>
    <definedName name="solver_rhs85" localSheetId="7" hidden="1">'Gable Frame'!$D$12</definedName>
    <definedName name="solver_rhs86" localSheetId="7" hidden="1">'Gable Frame'!$B$23</definedName>
    <definedName name="solver_rhs87" localSheetId="7" hidden="1">'Gable Frame'!$D$10</definedName>
    <definedName name="solver_rhs88" localSheetId="7" hidden="1">'Gable Frame'!$D$11</definedName>
    <definedName name="solver_rhs89" localSheetId="7" hidden="1">'Gable Frame'!$B$24</definedName>
    <definedName name="solver_rhs9" localSheetId="7" hidden="1">0</definedName>
    <definedName name="solver_rhs9" localSheetId="0" hidden="1">'h.w-1'!$B$13</definedName>
    <definedName name="solver_rhs9" localSheetId="4" hidden="1">integer</definedName>
    <definedName name="solver_rhs9" localSheetId="5" hidden="1">'tir-varagh'!$D$60</definedName>
    <definedName name="solver_rhs9" localSheetId="2" hidden="1">'Truss-Optimization-1'!$M$21</definedName>
    <definedName name="solver_rhs9" localSheetId="6" hidden="1">'TRUSS-optimzation-2'!$D$9</definedName>
    <definedName name="solver_rhs90" localSheetId="7" hidden="1">1</definedName>
    <definedName name="solver_rhs91" localSheetId="7" hidden="1">'Gable Frame'!$B$25</definedName>
    <definedName name="solver_rhs92" localSheetId="7" hidden="1">1</definedName>
    <definedName name="solver_rhs93" localSheetId="7" hidden="1">1</definedName>
    <definedName name="solver_rhs94" localSheetId="7" hidden="1">1</definedName>
    <definedName name="solver_rhs95" localSheetId="7" hidden="1">1</definedName>
    <definedName name="solver_rhs96" localSheetId="7" hidden="1">1</definedName>
    <definedName name="solver_rhs97" localSheetId="7" hidden="1">1</definedName>
    <definedName name="solver_rhs98" localSheetId="7" hidden="1">1</definedName>
    <definedName name="solver_rhs99" localSheetId="7" hidden="1">1</definedName>
    <definedName name="solver_scl" localSheetId="7" hidden="1">2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2" hidden="1">2</definedName>
    <definedName name="solver_scl" localSheetId="6" hidden="1">2</definedName>
    <definedName name="solver_sho" localSheetId="7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ho" localSheetId="6" hidden="1">2</definedName>
    <definedName name="solver_tim" localSheetId="7" hidden="1">9999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2" hidden="1">100</definedName>
    <definedName name="solver_tim" localSheetId="6" hidden="1">15000</definedName>
    <definedName name="solver_tol" localSheetId="7" hidden="1">0.000000001</definedName>
    <definedName name="solver_tol" localSheetId="0" hidden="1">0.0000001</definedName>
    <definedName name="solver_tol" localSheetId="1" hidden="1">0.0000000001</definedName>
    <definedName name="solver_tol" localSheetId="3" hidden="1">0.05</definedName>
    <definedName name="solver_tol" localSheetId="4" hidden="1">0.00000001</definedName>
    <definedName name="solver_tol" localSheetId="5" hidden="1">0.05</definedName>
    <definedName name="solver_tol" localSheetId="2" hidden="1">0.05</definedName>
    <definedName name="solver_tol" localSheetId="6" hidden="1">0.00000001</definedName>
    <definedName name="solver_typ" localSheetId="7" hidden="1">2</definedName>
    <definedName name="solver_typ" localSheetId="0" hidden="1">2</definedName>
    <definedName name="solver_typ" localSheetId="1" hidden="1">2</definedName>
    <definedName name="solver_typ" localSheetId="3" hidden="1">3</definedName>
    <definedName name="solver_typ" localSheetId="4" hidden="1">1</definedName>
    <definedName name="solver_typ" localSheetId="5" hidden="1">2</definedName>
    <definedName name="solver_typ" localSheetId="2" hidden="1">2</definedName>
    <definedName name="solver_typ" localSheetId="6" hidden="1">2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6" hidden="1">0</definedName>
    <definedName name="solver_ver" localSheetId="7" hidden="1">3</definedName>
  </definedNames>
  <calcPr calcId="152511" calcMode="autoNoTable"/>
  <customWorkbookViews>
    <customWorkbookView name="Administrator - Personal View" guid="{5E047470-7D77-426D-B94B-7966AE8B6508}" mergeInterval="0" personalView="1" maximized="1" xWindow="1" yWindow="1" windowWidth="1024" windowHeight="547" activeSheetId="2"/>
  </customWorkbookViews>
</workbook>
</file>

<file path=xl/calcChain.xml><?xml version="1.0" encoding="utf-8"?>
<calcChain xmlns="http://schemas.openxmlformats.org/spreadsheetml/2006/main">
  <c r="BE220" i="8" l="1"/>
  <c r="BE4" i="8"/>
  <c r="BE1" i="8"/>
  <c r="BD1" i="8"/>
  <c r="BD4" i="8" s="1"/>
  <c r="BF1" i="8"/>
  <c r="BG1" i="8"/>
  <c r="BF245" i="8"/>
  <c r="BD245" i="8"/>
  <c r="BF244" i="8"/>
  <c r="BD244" i="8"/>
  <c r="BF243" i="8"/>
  <c r="BD243" i="8"/>
  <c r="BF242" i="8"/>
  <c r="BD242" i="8"/>
  <c r="BF241" i="8"/>
  <c r="BD241" i="8"/>
  <c r="BF240" i="8"/>
  <c r="BD240" i="8"/>
  <c r="BF239" i="8"/>
  <c r="BD239" i="8"/>
  <c r="BF238" i="8"/>
  <c r="BD238" i="8"/>
  <c r="BF237" i="8"/>
  <c r="BD237" i="8"/>
  <c r="BF236" i="8"/>
  <c r="BD236" i="8"/>
  <c r="BF235" i="8"/>
  <c r="BD235" i="8"/>
  <c r="BF234" i="8"/>
  <c r="BD234" i="8"/>
  <c r="BF233" i="8"/>
  <c r="BD233" i="8"/>
  <c r="BF232" i="8"/>
  <c r="BD232" i="8"/>
  <c r="BF231" i="8"/>
  <c r="BD231" i="8"/>
  <c r="BF230" i="8"/>
  <c r="BD230" i="8"/>
  <c r="BF229" i="8"/>
  <c r="BD229" i="8"/>
  <c r="BF228" i="8"/>
  <c r="BD228" i="8"/>
  <c r="BF227" i="8"/>
  <c r="BD227" i="8"/>
  <c r="BF226" i="8"/>
  <c r="BD226" i="8"/>
  <c r="BF225" i="8"/>
  <c r="BD225" i="8"/>
  <c r="BF224" i="8"/>
  <c r="BD224" i="8"/>
  <c r="BF223" i="8"/>
  <c r="BD223" i="8"/>
  <c r="BF222" i="8"/>
  <c r="BD222" i="8"/>
  <c r="BF221" i="8"/>
  <c r="BD221" i="8"/>
  <c r="BF220" i="8"/>
  <c r="BD220" i="8"/>
  <c r="BF219" i="8"/>
  <c r="BD219" i="8"/>
  <c r="BF218" i="8"/>
  <c r="BD218" i="8"/>
  <c r="BF217" i="8"/>
  <c r="BD217" i="8"/>
  <c r="BF216" i="8"/>
  <c r="BD216" i="8"/>
  <c r="BF215" i="8"/>
  <c r="BD215" i="8"/>
  <c r="BF214" i="8"/>
  <c r="BD214" i="8"/>
  <c r="BF213" i="8"/>
  <c r="BD213" i="8"/>
  <c r="BF212" i="8"/>
  <c r="BD212" i="8"/>
  <c r="BF211" i="8"/>
  <c r="BD211" i="8"/>
  <c r="BF210" i="8"/>
  <c r="BD210" i="8"/>
  <c r="BF209" i="8"/>
  <c r="BD209" i="8"/>
  <c r="BF208" i="8"/>
  <c r="BD208" i="8"/>
  <c r="BF207" i="8"/>
  <c r="BD207" i="8"/>
  <c r="BF206" i="8"/>
  <c r="BD206" i="8"/>
  <c r="BF205" i="8"/>
  <c r="BD205" i="8"/>
  <c r="BF204" i="8"/>
  <c r="BD204" i="8"/>
  <c r="BF203" i="8"/>
  <c r="BD203" i="8"/>
  <c r="BF202" i="8"/>
  <c r="BD202" i="8"/>
  <c r="BF201" i="8"/>
  <c r="BD201" i="8"/>
  <c r="BF200" i="8"/>
  <c r="BD200" i="8"/>
  <c r="BF199" i="8"/>
  <c r="BD199" i="8"/>
  <c r="BD198" i="8"/>
  <c r="BD197" i="8"/>
  <c r="BD196" i="8"/>
  <c r="BD195" i="8"/>
  <c r="AX192" i="8"/>
  <c r="BC192" i="8" s="1"/>
  <c r="AG192" i="8"/>
  <c r="AX191" i="8"/>
  <c r="BC191" i="8" s="1"/>
  <c r="AX190" i="8"/>
  <c r="BB190" i="8" s="1"/>
  <c r="AP190" i="8"/>
  <c r="AX189" i="8"/>
  <c r="BB189" i="8" s="1"/>
  <c r="AG189" i="8"/>
  <c r="AX188" i="8"/>
  <c r="BB188" i="8" s="1"/>
  <c r="AG188" i="8"/>
  <c r="AX187" i="8"/>
  <c r="BB187" i="8" s="1"/>
  <c r="AG187" i="8"/>
  <c r="BD186" i="8"/>
  <c r="BD190" i="8" s="1"/>
  <c r="BC186" i="8"/>
  <c r="BC190" i="8" s="1"/>
  <c r="BB186" i="8"/>
  <c r="BA186" i="8"/>
  <c r="BA189" i="8" s="1"/>
  <c r="AZ186" i="8"/>
  <c r="AZ190" i="8" s="1"/>
  <c r="AY186" i="8"/>
  <c r="AY190" i="8" s="1"/>
  <c r="F186" i="8"/>
  <c r="E186" i="8"/>
  <c r="D186" i="8"/>
  <c r="C186" i="8"/>
  <c r="B186" i="8"/>
  <c r="A186" i="8"/>
  <c r="D185" i="8"/>
  <c r="F184" i="8"/>
  <c r="D184" i="8"/>
  <c r="AX183" i="8"/>
  <c r="BA183" i="8" s="1"/>
  <c r="AG183" i="8"/>
  <c r="AX182" i="8"/>
  <c r="BA182" i="8" s="1"/>
  <c r="AG182" i="8"/>
  <c r="AX181" i="8"/>
  <c r="BA181" i="8" s="1"/>
  <c r="AP181" i="8"/>
  <c r="AG181" i="8"/>
  <c r="AX180" i="8"/>
  <c r="AG180" i="8"/>
  <c r="AX179" i="8"/>
  <c r="AG179" i="8"/>
  <c r="AX178" i="8"/>
  <c r="AG178" i="8"/>
  <c r="BC177" i="8"/>
  <c r="BC180" i="8" s="1"/>
  <c r="BA177" i="8"/>
  <c r="AZ177" i="8"/>
  <c r="AY177" i="8"/>
  <c r="AY180" i="8" s="1"/>
  <c r="F177" i="8"/>
  <c r="E177" i="8"/>
  <c r="D177" i="8"/>
  <c r="C177" i="8"/>
  <c r="B177" i="8"/>
  <c r="A177" i="8"/>
  <c r="D176" i="8"/>
  <c r="F175" i="8"/>
  <c r="D175" i="8"/>
  <c r="AX174" i="8"/>
  <c r="BA174" i="8" s="1"/>
  <c r="AG174" i="8"/>
  <c r="AX173" i="8"/>
  <c r="BA173" i="8" s="1"/>
  <c r="AG173" i="8"/>
  <c r="AX172" i="8"/>
  <c r="BA172" i="8" s="1"/>
  <c r="AP172" i="8"/>
  <c r="AG172" i="8"/>
  <c r="AX171" i="8"/>
  <c r="AG171" i="8"/>
  <c r="AX170" i="8"/>
  <c r="AG170" i="8"/>
  <c r="AX169" i="8"/>
  <c r="AG169" i="8"/>
  <c r="BC168" i="8"/>
  <c r="BC171" i="8" s="1"/>
  <c r="BA168" i="8"/>
  <c r="AZ168" i="8"/>
  <c r="AY168" i="8"/>
  <c r="AY171" i="8" s="1"/>
  <c r="F168" i="8"/>
  <c r="E168" i="8"/>
  <c r="D168" i="8"/>
  <c r="C168" i="8"/>
  <c r="B168" i="8"/>
  <c r="A168" i="8"/>
  <c r="D167" i="8"/>
  <c r="F166" i="8"/>
  <c r="D166" i="8"/>
  <c r="AX165" i="8"/>
  <c r="BA165" i="8" s="1"/>
  <c r="AG165" i="8"/>
  <c r="AX164" i="8"/>
  <c r="BA164" i="8" s="1"/>
  <c r="AG164" i="8"/>
  <c r="AX163" i="8"/>
  <c r="BA163" i="8" s="1"/>
  <c r="AP163" i="8"/>
  <c r="AG163" i="8"/>
  <c r="AX162" i="8"/>
  <c r="AG162" i="8"/>
  <c r="AX161" i="8"/>
  <c r="AG161" i="8"/>
  <c r="AX160" i="8"/>
  <c r="AG160" i="8"/>
  <c r="BC159" i="8"/>
  <c r="BC162" i="8" s="1"/>
  <c r="BA159" i="8"/>
  <c r="AZ159" i="8"/>
  <c r="AY159" i="8"/>
  <c r="AY162" i="8" s="1"/>
  <c r="F159" i="8"/>
  <c r="E159" i="8"/>
  <c r="D159" i="8"/>
  <c r="C159" i="8"/>
  <c r="B159" i="8"/>
  <c r="A159" i="8"/>
  <c r="D158" i="8"/>
  <c r="F157" i="8"/>
  <c r="D157" i="8"/>
  <c r="AX156" i="8"/>
  <c r="BA156" i="8" s="1"/>
  <c r="AG156" i="8"/>
  <c r="AX155" i="8"/>
  <c r="BA155" i="8" s="1"/>
  <c r="AG155" i="8"/>
  <c r="AX154" i="8"/>
  <c r="BA154" i="8" s="1"/>
  <c r="AP154" i="8"/>
  <c r="AG154" i="8"/>
  <c r="AX153" i="8"/>
  <c r="AG153" i="8"/>
  <c r="AX152" i="8"/>
  <c r="AG152" i="8"/>
  <c r="AX151" i="8"/>
  <c r="AG151" i="8"/>
  <c r="BC150" i="8"/>
  <c r="BC153" i="8" s="1"/>
  <c r="BA150" i="8"/>
  <c r="AZ150" i="8"/>
  <c r="AY150" i="8"/>
  <c r="AY153" i="8" s="1"/>
  <c r="F150" i="8"/>
  <c r="E150" i="8"/>
  <c r="D150" i="8"/>
  <c r="C150" i="8"/>
  <c r="B150" i="8"/>
  <c r="A150" i="8"/>
  <c r="D149" i="8"/>
  <c r="F148" i="8"/>
  <c r="D148" i="8"/>
  <c r="AX147" i="8"/>
  <c r="BA147" i="8" s="1"/>
  <c r="AG147" i="8"/>
  <c r="AX146" i="8"/>
  <c r="BA146" i="8" s="1"/>
  <c r="AG146" i="8"/>
  <c r="AX145" i="8"/>
  <c r="BA145" i="8" s="1"/>
  <c r="AP145" i="8"/>
  <c r="AG145" i="8"/>
  <c r="AX144" i="8"/>
  <c r="AG144" i="8"/>
  <c r="AX143" i="8"/>
  <c r="AG143" i="8"/>
  <c r="AX142" i="8"/>
  <c r="AG142" i="8"/>
  <c r="BC141" i="8"/>
  <c r="BC144" i="8" s="1"/>
  <c r="BA141" i="8"/>
  <c r="AZ141" i="8"/>
  <c r="AY141" i="8"/>
  <c r="AY144" i="8" s="1"/>
  <c r="F141" i="8"/>
  <c r="E141" i="8"/>
  <c r="D141" i="8"/>
  <c r="C141" i="8"/>
  <c r="B141" i="8"/>
  <c r="A141" i="8"/>
  <c r="D140" i="8"/>
  <c r="F139" i="8"/>
  <c r="D139" i="8"/>
  <c r="AX138" i="8"/>
  <c r="AG138" i="8"/>
  <c r="AX137" i="8"/>
  <c r="AG137" i="8"/>
  <c r="AY136" i="8"/>
  <c r="AX136" i="8"/>
  <c r="AP136" i="8"/>
  <c r="AG136" i="8"/>
  <c r="AX135" i="8"/>
  <c r="AG135" i="8"/>
  <c r="AX134" i="8"/>
  <c r="AG134" i="8"/>
  <c r="AX133" i="8"/>
  <c r="AG133" i="8"/>
  <c r="BD132" i="8"/>
  <c r="BD135" i="8" s="1"/>
  <c r="BC132" i="8"/>
  <c r="BC135" i="8" s="1"/>
  <c r="BA132" i="8"/>
  <c r="AZ132" i="8"/>
  <c r="AZ135" i="8" s="1"/>
  <c r="AY132" i="8"/>
  <c r="AY135" i="8" s="1"/>
  <c r="F132" i="8"/>
  <c r="E132" i="8"/>
  <c r="D132" i="8"/>
  <c r="C132" i="8"/>
  <c r="B132" i="8"/>
  <c r="A132" i="8"/>
  <c r="D131" i="8"/>
  <c r="F130" i="8"/>
  <c r="D130" i="8"/>
  <c r="AX129" i="8"/>
  <c r="AG129" i="8"/>
  <c r="AX128" i="8"/>
  <c r="AG128" i="8"/>
  <c r="BC127" i="8"/>
  <c r="AY127" i="8"/>
  <c r="AX127" i="8"/>
  <c r="AP127" i="8"/>
  <c r="AG127" i="8"/>
  <c r="AX126" i="8"/>
  <c r="AG126" i="8"/>
  <c r="AX125" i="8"/>
  <c r="AG125" i="8"/>
  <c r="AX124" i="8"/>
  <c r="AG124" i="8"/>
  <c r="BD123" i="8"/>
  <c r="BD126" i="8" s="1"/>
  <c r="BC123" i="8"/>
  <c r="BC126" i="8" s="1"/>
  <c r="BA123" i="8"/>
  <c r="AZ123" i="8"/>
  <c r="AZ126" i="8" s="1"/>
  <c r="AY123" i="8"/>
  <c r="AY126" i="8" s="1"/>
  <c r="F123" i="8"/>
  <c r="E123" i="8"/>
  <c r="D123" i="8"/>
  <c r="C123" i="8"/>
  <c r="B123" i="8"/>
  <c r="A123" i="8"/>
  <c r="D122" i="8"/>
  <c r="F121" i="8"/>
  <c r="D121" i="8"/>
  <c r="AX120" i="8"/>
  <c r="AG120" i="8"/>
  <c r="AX119" i="8"/>
  <c r="AG119" i="8"/>
  <c r="AX118" i="8"/>
  <c r="AP118" i="8"/>
  <c r="AG118" i="8"/>
  <c r="AX117" i="8"/>
  <c r="AG117" i="8"/>
  <c r="AX116" i="8"/>
  <c r="AG116" i="8"/>
  <c r="AX115" i="8"/>
  <c r="AG115" i="8"/>
  <c r="BD114" i="8"/>
  <c r="BD117" i="8" s="1"/>
  <c r="BC114" i="8"/>
  <c r="BC117" i="8" s="1"/>
  <c r="BA114" i="8"/>
  <c r="AZ114" i="8"/>
  <c r="AZ117" i="8" s="1"/>
  <c r="AY114" i="8"/>
  <c r="AY117" i="8" s="1"/>
  <c r="F114" i="8"/>
  <c r="E114" i="8"/>
  <c r="D114" i="8"/>
  <c r="C114" i="8"/>
  <c r="B114" i="8"/>
  <c r="A114" i="8"/>
  <c r="D113" i="8"/>
  <c r="F112" i="8"/>
  <c r="D112" i="8"/>
  <c r="AX111" i="8"/>
  <c r="AG111" i="8"/>
  <c r="AX110" i="8"/>
  <c r="AG110" i="8"/>
  <c r="AX109" i="8"/>
  <c r="AP109" i="8"/>
  <c r="AG109" i="8"/>
  <c r="AX108" i="8"/>
  <c r="AG108" i="8"/>
  <c r="AX107" i="8"/>
  <c r="AG107" i="8"/>
  <c r="AX106" i="8"/>
  <c r="AG106" i="8"/>
  <c r="BD105" i="8"/>
  <c r="BD108" i="8" s="1"/>
  <c r="BC105" i="8"/>
  <c r="BC108" i="8" s="1"/>
  <c r="BA105" i="8"/>
  <c r="AZ105" i="8"/>
  <c r="AZ108" i="8" s="1"/>
  <c r="AY105" i="8"/>
  <c r="AY108" i="8" s="1"/>
  <c r="F105" i="8"/>
  <c r="E105" i="8"/>
  <c r="D105" i="8"/>
  <c r="C105" i="8"/>
  <c r="B105" i="8"/>
  <c r="A105" i="8"/>
  <c r="D104" i="8"/>
  <c r="F103" i="8"/>
  <c r="D103" i="8"/>
  <c r="AX102" i="8"/>
  <c r="AG102" i="8"/>
  <c r="AX101" i="8"/>
  <c r="AG101" i="8"/>
  <c r="AX100" i="8"/>
  <c r="AP100" i="8"/>
  <c r="AG100" i="8"/>
  <c r="AX99" i="8"/>
  <c r="AG99" i="8"/>
  <c r="AX98" i="8"/>
  <c r="AG98" i="8"/>
  <c r="AX97" i="8"/>
  <c r="AG97" i="8"/>
  <c r="BD96" i="8"/>
  <c r="BD99" i="8" s="1"/>
  <c r="BC96" i="8"/>
  <c r="BC99" i="8" s="1"/>
  <c r="BA96" i="8"/>
  <c r="AZ96" i="8"/>
  <c r="AZ99" i="8" s="1"/>
  <c r="AY96" i="8"/>
  <c r="AY99" i="8" s="1"/>
  <c r="F96" i="8"/>
  <c r="E96" i="8"/>
  <c r="D96" i="8"/>
  <c r="C96" i="8"/>
  <c r="B96" i="8"/>
  <c r="A96" i="8"/>
  <c r="D95" i="8"/>
  <c r="F94" i="8"/>
  <c r="D94" i="8"/>
  <c r="AX93" i="8"/>
  <c r="AG93" i="8"/>
  <c r="AX92" i="8"/>
  <c r="AG92" i="8"/>
  <c r="AX91" i="8"/>
  <c r="AP91" i="8"/>
  <c r="AG91" i="8"/>
  <c r="AX90" i="8"/>
  <c r="AG90" i="8"/>
  <c r="AX89" i="8"/>
  <c r="AG89" i="8"/>
  <c r="AX88" i="8"/>
  <c r="AG88" i="8"/>
  <c r="BD87" i="8"/>
  <c r="BD90" i="8" s="1"/>
  <c r="BC87" i="8"/>
  <c r="BC90" i="8" s="1"/>
  <c r="BA87" i="8"/>
  <c r="AZ87" i="8"/>
  <c r="AZ90" i="8" s="1"/>
  <c r="AY87" i="8"/>
  <c r="AY90" i="8" s="1"/>
  <c r="F87" i="8"/>
  <c r="E87" i="8"/>
  <c r="D87" i="8"/>
  <c r="C87" i="8"/>
  <c r="B87" i="8"/>
  <c r="A87" i="8"/>
  <c r="D86" i="8"/>
  <c r="F85" i="8"/>
  <c r="D85" i="8"/>
  <c r="AX84" i="8"/>
  <c r="AG84" i="8"/>
  <c r="AX83" i="8"/>
  <c r="AG83" i="8"/>
  <c r="AX82" i="8"/>
  <c r="AP82" i="8"/>
  <c r="AG82" i="8"/>
  <c r="AX81" i="8"/>
  <c r="AG81" i="8"/>
  <c r="AX80" i="8"/>
  <c r="AG80" i="8"/>
  <c r="AX79" i="8"/>
  <c r="AG79" i="8"/>
  <c r="BD78" i="8"/>
  <c r="BD81" i="8" s="1"/>
  <c r="BC78" i="8"/>
  <c r="BC81" i="8" s="1"/>
  <c r="BA78" i="8"/>
  <c r="AZ78" i="8"/>
  <c r="AZ81" i="8" s="1"/>
  <c r="AY78" i="8"/>
  <c r="AY81" i="8" s="1"/>
  <c r="F78" i="8"/>
  <c r="E78" i="8"/>
  <c r="D78" i="8"/>
  <c r="C78" i="8"/>
  <c r="B78" i="8"/>
  <c r="A78" i="8"/>
  <c r="D77" i="8"/>
  <c r="F76" i="8"/>
  <c r="D76" i="8"/>
  <c r="AX75" i="8"/>
  <c r="AG75" i="8"/>
  <c r="AX74" i="8"/>
  <c r="AG74" i="8"/>
  <c r="AX73" i="8"/>
  <c r="BC73" i="8" s="1"/>
  <c r="AP73" i="8"/>
  <c r="AG73" i="8"/>
  <c r="BC72" i="8"/>
  <c r="AX72" i="8"/>
  <c r="AG72" i="8"/>
  <c r="AX71" i="8"/>
  <c r="AG71" i="8"/>
  <c r="BC70" i="8"/>
  <c r="AX70" i="8"/>
  <c r="AG70" i="8"/>
  <c r="BD69" i="8"/>
  <c r="BD72" i="8" s="1"/>
  <c r="BC69" i="8"/>
  <c r="BC71" i="8" s="1"/>
  <c r="BA69" i="8"/>
  <c r="AZ69" i="8"/>
  <c r="AZ71" i="8" s="1"/>
  <c r="AY69" i="8"/>
  <c r="AY72" i="8" s="1"/>
  <c r="F69" i="8"/>
  <c r="E69" i="8"/>
  <c r="D69" i="8"/>
  <c r="C69" i="8"/>
  <c r="B69" i="8"/>
  <c r="A69" i="8"/>
  <c r="D68" i="8"/>
  <c r="F67" i="8"/>
  <c r="D67" i="8"/>
  <c r="AX66" i="8"/>
  <c r="BC66" i="8" s="1"/>
  <c r="AG66" i="8"/>
  <c r="AX65" i="8"/>
  <c r="AG65" i="8"/>
  <c r="AX64" i="8"/>
  <c r="AP64" i="8"/>
  <c r="AG64" i="8"/>
  <c r="AG63" i="8"/>
  <c r="G63" i="8"/>
  <c r="AX63" i="8" s="1"/>
  <c r="AG62" i="8"/>
  <c r="G62" i="8"/>
  <c r="AX62" i="8" s="1"/>
  <c r="AX61" i="8"/>
  <c r="AG61" i="8"/>
  <c r="G61" i="8"/>
  <c r="BD60" i="8"/>
  <c r="BC60" i="8"/>
  <c r="BC65" i="8" s="1"/>
  <c r="BB60" i="8"/>
  <c r="BB66" i="8" s="1"/>
  <c r="AY60" i="8"/>
  <c r="AY66" i="8" s="1"/>
  <c r="F60" i="8"/>
  <c r="E60" i="8"/>
  <c r="D60" i="8"/>
  <c r="C60" i="8"/>
  <c r="B60" i="8"/>
  <c r="A60" i="8"/>
  <c r="D59" i="8"/>
  <c r="F58" i="8"/>
  <c r="D58" i="8"/>
  <c r="AX57" i="8"/>
  <c r="AG57" i="8"/>
  <c r="BD56" i="8"/>
  <c r="AZ56" i="8"/>
  <c r="AX56" i="8"/>
  <c r="BB56" i="8" s="1"/>
  <c r="AG56" i="8"/>
  <c r="BD55" i="8"/>
  <c r="AZ55" i="8"/>
  <c r="AX55" i="8"/>
  <c r="BB55" i="8" s="1"/>
  <c r="AP55" i="8"/>
  <c r="AG55" i="8"/>
  <c r="BD54" i="8"/>
  <c r="BA54" i="8"/>
  <c r="AZ54" i="8"/>
  <c r="AX54" i="8"/>
  <c r="BC54" i="8" s="1"/>
  <c r="AG54" i="8"/>
  <c r="BD53" i="8"/>
  <c r="BA53" i="8"/>
  <c r="AZ53" i="8"/>
  <c r="AX53" i="8"/>
  <c r="BC53" i="8" s="1"/>
  <c r="BD52" i="8"/>
  <c r="AZ52" i="8"/>
  <c r="AX52" i="8"/>
  <c r="BB52" i="8" s="1"/>
  <c r="BD51" i="8"/>
  <c r="BC51" i="8"/>
  <c r="BC56" i="8" s="1"/>
  <c r="BB51" i="8"/>
  <c r="BA51" i="8"/>
  <c r="AZ51" i="8"/>
  <c r="AY51" i="8"/>
  <c r="AY56" i="8" s="1"/>
  <c r="F51" i="8"/>
  <c r="E51" i="8"/>
  <c r="D51" i="8"/>
  <c r="C51" i="8"/>
  <c r="B51" i="8"/>
  <c r="A51" i="8"/>
  <c r="D50" i="8"/>
  <c r="F49" i="8"/>
  <c r="D49" i="8"/>
  <c r="AE47" i="8"/>
  <c r="AE46" i="8"/>
  <c r="AD46" i="8"/>
  <c r="AC46" i="8"/>
  <c r="AE45" i="8"/>
  <c r="AD45" i="8"/>
  <c r="AC45" i="8"/>
  <c r="AE44" i="8"/>
  <c r="AD44" i="8"/>
  <c r="AC44" i="8"/>
  <c r="AE43" i="8"/>
  <c r="AD43" i="8"/>
  <c r="AC43" i="8"/>
  <c r="AE42" i="8"/>
  <c r="AD42" i="8"/>
  <c r="AC42" i="8"/>
  <c r="AE41" i="8"/>
  <c r="AD41" i="8"/>
  <c r="AC41" i="8"/>
  <c r="AE40" i="8"/>
  <c r="AD40" i="8"/>
  <c r="AC40" i="8"/>
  <c r="AE39" i="8"/>
  <c r="AD39" i="8"/>
  <c r="AC39" i="8"/>
  <c r="AE38" i="8"/>
  <c r="AD38" i="8"/>
  <c r="AC38" i="8"/>
  <c r="AE37" i="8"/>
  <c r="AD37" i="8"/>
  <c r="AC37" i="8"/>
  <c r="AE36" i="8"/>
  <c r="AD36" i="8"/>
  <c r="AC36" i="8"/>
  <c r="D36" i="8"/>
  <c r="B37" i="8" s="1"/>
  <c r="AE35" i="8"/>
  <c r="AD35" i="8"/>
  <c r="AC35" i="8"/>
  <c r="AE34" i="8"/>
  <c r="AD34" i="8"/>
  <c r="AC34" i="8"/>
  <c r="AE33" i="8"/>
  <c r="AD33" i="8"/>
  <c r="AC33" i="8"/>
  <c r="AE32" i="8"/>
  <c r="AD32" i="8"/>
  <c r="AC32" i="8"/>
  <c r="E32" i="8"/>
  <c r="D32" i="8"/>
  <c r="B33" i="8" s="1"/>
  <c r="AE31" i="8"/>
  <c r="Y31" i="8"/>
  <c r="X31" i="8"/>
  <c r="J28" i="8"/>
  <c r="H28" i="8"/>
  <c r="F28" i="8"/>
  <c r="F132" i="7"/>
  <c r="T118" i="7"/>
  <c r="T117" i="7"/>
  <c r="T116" i="7"/>
  <c r="T115" i="7"/>
  <c r="T114" i="7"/>
  <c r="T113" i="7"/>
  <c r="T112" i="7"/>
  <c r="T111" i="7"/>
  <c r="Z102" i="7"/>
  <c r="AB102" i="7" s="1"/>
  <c r="M102" i="7"/>
  <c r="Z101" i="7"/>
  <c r="AD101" i="7" s="1"/>
  <c r="M101" i="7"/>
  <c r="Z100" i="7"/>
  <c r="AA100" i="7" s="1"/>
  <c r="M100" i="7"/>
  <c r="AB99" i="7"/>
  <c r="Z99" i="7"/>
  <c r="AD99" i="7" s="1"/>
  <c r="M99" i="7"/>
  <c r="K99" i="7"/>
  <c r="J99" i="7"/>
  <c r="I99" i="7"/>
  <c r="H99" i="7"/>
  <c r="AD98" i="7"/>
  <c r="AC98" i="7"/>
  <c r="AC99" i="7" s="1"/>
  <c r="AB98" i="7"/>
  <c r="AB100" i="7" s="1"/>
  <c r="AA98" i="7"/>
  <c r="AA99" i="7" s="1"/>
  <c r="Z96" i="7"/>
  <c r="AB96" i="7" s="1"/>
  <c r="M96" i="7"/>
  <c r="Z95" i="7"/>
  <c r="AD95" i="7" s="1"/>
  <c r="M95" i="7"/>
  <c r="Z94" i="7"/>
  <c r="AD94" i="7" s="1"/>
  <c r="M94" i="7"/>
  <c r="AB93" i="7"/>
  <c r="Z93" i="7"/>
  <c r="AD93" i="7" s="1"/>
  <c r="M93" i="7"/>
  <c r="K93" i="7"/>
  <c r="J93" i="7"/>
  <c r="I93" i="7"/>
  <c r="H93" i="7"/>
  <c r="AD92" i="7"/>
  <c r="AC92" i="7"/>
  <c r="AC93" i="7" s="1"/>
  <c r="AB92" i="7"/>
  <c r="AA92" i="7"/>
  <c r="AA93" i="7" s="1"/>
  <c r="Z90" i="7"/>
  <c r="AD90" i="7" s="1"/>
  <c r="M90" i="7"/>
  <c r="AB89" i="7"/>
  <c r="Z89" i="7"/>
  <c r="AA89" i="7" s="1"/>
  <c r="M89" i="7"/>
  <c r="Z88" i="7"/>
  <c r="AD88" i="7" s="1"/>
  <c r="AB87" i="7"/>
  <c r="Z87" i="7"/>
  <c r="AA87" i="7" s="1"/>
  <c r="K87" i="7"/>
  <c r="J87" i="7"/>
  <c r="I87" i="7"/>
  <c r="H87" i="7"/>
  <c r="AD86" i="7"/>
  <c r="AC86" i="7"/>
  <c r="AB86" i="7"/>
  <c r="AA86" i="7"/>
  <c r="Z84" i="7"/>
  <c r="AA84" i="7" s="1"/>
  <c r="Z83" i="7"/>
  <c r="AB83" i="7" s="1"/>
  <c r="Z82" i="7"/>
  <c r="AD82" i="7" s="1"/>
  <c r="M82" i="7"/>
  <c r="Z81" i="7"/>
  <c r="AD81" i="7" s="1"/>
  <c r="M81" i="7"/>
  <c r="K81" i="7"/>
  <c r="J81" i="7"/>
  <c r="I81" i="7"/>
  <c r="H81" i="7"/>
  <c r="AD80" i="7"/>
  <c r="AC80" i="7"/>
  <c r="AC83" i="7" s="1"/>
  <c r="AB80" i="7"/>
  <c r="AB84" i="7" s="1"/>
  <c r="AA80" i="7"/>
  <c r="AA83" i="7" s="1"/>
  <c r="Z78" i="7"/>
  <c r="AD78" i="7" s="1"/>
  <c r="M78" i="7"/>
  <c r="Z77" i="7"/>
  <c r="AB77" i="7" s="1"/>
  <c r="M77" i="7"/>
  <c r="Z76" i="7"/>
  <c r="AD76" i="7" s="1"/>
  <c r="M76" i="7"/>
  <c r="Z75" i="7"/>
  <c r="AD75" i="7" s="1"/>
  <c r="M75" i="7"/>
  <c r="K75" i="7"/>
  <c r="J75" i="7"/>
  <c r="I75" i="7"/>
  <c r="H75" i="7"/>
  <c r="AD74" i="7"/>
  <c r="AC74" i="7"/>
  <c r="AC75" i="7" s="1"/>
  <c r="AB74" i="7"/>
  <c r="AB75" i="7" s="1"/>
  <c r="AA74" i="7"/>
  <c r="AA75" i="7" s="1"/>
  <c r="Z72" i="7"/>
  <c r="AD72" i="7" s="1"/>
  <c r="M72" i="7"/>
  <c r="Z71" i="7"/>
  <c r="AB71" i="7" s="1"/>
  <c r="M71" i="7"/>
  <c r="Z70" i="7"/>
  <c r="AD70" i="7" s="1"/>
  <c r="M70" i="7"/>
  <c r="Z69" i="7"/>
  <c r="AD69" i="7" s="1"/>
  <c r="M69" i="7"/>
  <c r="K69" i="7"/>
  <c r="J69" i="7"/>
  <c r="I69" i="7"/>
  <c r="H69" i="7"/>
  <c r="AD68" i="7"/>
  <c r="AC68" i="7"/>
  <c r="AC69" i="7" s="1"/>
  <c r="AB68" i="7"/>
  <c r="AB69" i="7" s="1"/>
  <c r="AA68" i="7"/>
  <c r="AA69" i="7" s="1"/>
  <c r="Z66" i="7"/>
  <c r="AD66" i="7" s="1"/>
  <c r="M66" i="7"/>
  <c r="Z65" i="7"/>
  <c r="AB65" i="7" s="1"/>
  <c r="M65" i="7"/>
  <c r="Z64" i="7"/>
  <c r="AD64" i="7" s="1"/>
  <c r="M64" i="7"/>
  <c r="AB63" i="7"/>
  <c r="Z63" i="7"/>
  <c r="AD63" i="7" s="1"/>
  <c r="M63" i="7"/>
  <c r="K63" i="7"/>
  <c r="J63" i="7"/>
  <c r="I63" i="7"/>
  <c r="H63" i="7"/>
  <c r="AD62" i="7"/>
  <c r="AC62" i="7"/>
  <c r="AC63" i="7" s="1"/>
  <c r="AB62" i="7"/>
  <c r="AA62" i="7"/>
  <c r="AA63" i="7" s="1"/>
  <c r="Z60" i="7"/>
  <c r="AD60" i="7" s="1"/>
  <c r="M60" i="7"/>
  <c r="Z59" i="7"/>
  <c r="AB59" i="7" s="1"/>
  <c r="M59" i="7"/>
  <c r="Z58" i="7"/>
  <c r="AD58" i="7" s="1"/>
  <c r="Z57" i="7"/>
  <c r="AB57" i="7" s="1"/>
  <c r="K57" i="7"/>
  <c r="J57" i="7"/>
  <c r="I57" i="7"/>
  <c r="H57" i="7"/>
  <c r="AD56" i="7"/>
  <c r="AC56" i="7"/>
  <c r="AB56" i="7"/>
  <c r="AA56" i="7"/>
  <c r="Z54" i="7"/>
  <c r="AB54" i="7" s="1"/>
  <c r="M54" i="7"/>
  <c r="Z53" i="7"/>
  <c r="AD53" i="7" s="1"/>
  <c r="M53" i="7"/>
  <c r="Z52" i="7"/>
  <c r="AB52" i="7" s="1"/>
  <c r="M52" i="7"/>
  <c r="Z51" i="7"/>
  <c r="AD51" i="7" s="1"/>
  <c r="M51" i="7"/>
  <c r="K51" i="7"/>
  <c r="J51" i="7"/>
  <c r="I51" i="7"/>
  <c r="H51" i="7"/>
  <c r="AD50" i="7"/>
  <c r="AC50" i="7"/>
  <c r="AB50" i="7"/>
  <c r="AA50" i="7"/>
  <c r="AA51" i="7" s="1"/>
  <c r="Z48" i="7"/>
  <c r="AB48" i="7" s="1"/>
  <c r="M48" i="7"/>
  <c r="Z47" i="7"/>
  <c r="AD47" i="7" s="1"/>
  <c r="M47" i="7"/>
  <c r="Z46" i="7"/>
  <c r="AB46" i="7" s="1"/>
  <c r="Z45" i="7"/>
  <c r="AC45" i="7" s="1"/>
  <c r="K45" i="7"/>
  <c r="J45" i="7"/>
  <c r="I45" i="7"/>
  <c r="H45" i="7"/>
  <c r="AD44" i="7"/>
  <c r="AC44" i="7"/>
  <c r="AB44" i="7"/>
  <c r="AA44" i="7"/>
  <c r="AA46" i="7" s="1"/>
  <c r="M41" i="7"/>
  <c r="H41" i="7"/>
  <c r="D41" i="7"/>
  <c r="M40" i="7"/>
  <c r="H40" i="7"/>
  <c r="G40" i="7"/>
  <c r="M39" i="7"/>
  <c r="H39" i="7"/>
  <c r="M38" i="7"/>
  <c r="H38" i="7"/>
  <c r="D38" i="7"/>
  <c r="M37" i="7"/>
  <c r="H37" i="7"/>
  <c r="G37" i="7"/>
  <c r="M36" i="7"/>
  <c r="H36" i="7"/>
  <c r="D36" i="7"/>
  <c r="M35" i="7"/>
  <c r="H35" i="7"/>
  <c r="F35" i="7"/>
  <c r="W34" i="7"/>
  <c r="V34" i="7"/>
  <c r="M34" i="7"/>
  <c r="H34" i="7"/>
  <c r="F34" i="7"/>
  <c r="W33" i="7"/>
  <c r="V33" i="7"/>
  <c r="S33" i="7"/>
  <c r="M33" i="7"/>
  <c r="H33" i="7"/>
  <c r="G33" i="7"/>
  <c r="C33" i="7"/>
  <c r="E50" i="7" s="1"/>
  <c r="W32" i="7"/>
  <c r="V32" i="7"/>
  <c r="M32" i="7"/>
  <c r="H32" i="7"/>
  <c r="W31" i="7"/>
  <c r="V31" i="7"/>
  <c r="O29" i="7"/>
  <c r="M31" i="7" s="1"/>
  <c r="C26" i="7"/>
  <c r="C36" i="7" s="1"/>
  <c r="E68" i="7" s="1"/>
  <c r="C25" i="7"/>
  <c r="F40" i="7" s="1"/>
  <c r="B65" i="5"/>
  <c r="D62" i="5"/>
  <c r="B62" i="5"/>
  <c r="C62" i="5" s="1"/>
  <c r="D60" i="5"/>
  <c r="C60" i="5"/>
  <c r="B60" i="5"/>
  <c r="B58" i="5"/>
  <c r="B54" i="5"/>
  <c r="B51" i="5"/>
  <c r="B52" i="5" s="1"/>
  <c r="B50" i="5"/>
  <c r="C50" i="5" s="1"/>
  <c r="D47" i="5"/>
  <c r="B45" i="5"/>
  <c r="B42" i="5"/>
  <c r="B43" i="5" s="1"/>
  <c r="B44" i="5" s="1"/>
  <c r="B46" i="5" s="1"/>
  <c r="B47" i="5" s="1"/>
  <c r="C47" i="5" s="1"/>
  <c r="B41" i="5"/>
  <c r="D39" i="5"/>
  <c r="B39" i="5"/>
  <c r="C39" i="5" s="1"/>
  <c r="G38" i="5"/>
  <c r="G37" i="5"/>
  <c r="B37" i="5"/>
  <c r="G36" i="5"/>
  <c r="B36" i="5"/>
  <c r="C36" i="5" s="1"/>
  <c r="G35" i="5"/>
  <c r="D35" i="5"/>
  <c r="B35" i="5"/>
  <c r="D32" i="5"/>
  <c r="B32" i="5"/>
  <c r="C32" i="5" s="1"/>
  <c r="D31" i="5"/>
  <c r="B31" i="5"/>
  <c r="C31" i="5" s="1"/>
  <c r="D30" i="5"/>
  <c r="B30" i="5"/>
  <c r="C30" i="5" s="1"/>
  <c r="D28" i="5"/>
  <c r="C28" i="5"/>
  <c r="B28" i="5"/>
  <c r="B26" i="5"/>
  <c r="D25" i="5"/>
  <c r="B25" i="5"/>
  <c r="C25" i="5" s="1"/>
  <c r="D23" i="5"/>
  <c r="D26" i="5" s="1"/>
  <c r="B23" i="5"/>
  <c r="C23" i="5" s="1"/>
  <c r="B19" i="5"/>
  <c r="B20" i="5" s="1"/>
  <c r="D37" i="5" s="1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B16" i="4"/>
  <c r="B15" i="4"/>
  <c r="D14" i="4"/>
  <c r="B14" i="4"/>
  <c r="C14" i="4" s="1"/>
  <c r="D13" i="4"/>
  <c r="C13" i="4"/>
  <c r="B13" i="4"/>
  <c r="B11" i="4"/>
  <c r="B18" i="4" s="1"/>
  <c r="G6" i="3"/>
  <c r="H5" i="3"/>
  <c r="G5" i="3"/>
  <c r="D5" i="3"/>
  <c r="G1" i="3" s="1"/>
  <c r="D4" i="3"/>
  <c r="N52" i="6"/>
  <c r="N51" i="6"/>
  <c r="N50" i="6"/>
  <c r="F66" i="6" s="1"/>
  <c r="M40" i="6"/>
  <c r="M39" i="6"/>
  <c r="M36" i="6"/>
  <c r="M35" i="6"/>
  <c r="M33" i="6"/>
  <c r="M29" i="6"/>
  <c r="B28" i="6"/>
  <c r="E26" i="6"/>
  <c r="D26" i="6"/>
  <c r="B30" i="6" s="1"/>
  <c r="F49" i="6" s="1"/>
  <c r="M23" i="6"/>
  <c r="H23" i="6"/>
  <c r="E23" i="6"/>
  <c r="W22" i="6"/>
  <c r="V22" i="6"/>
  <c r="S22" i="6"/>
  <c r="M22" i="6"/>
  <c r="H22" i="6"/>
  <c r="G22" i="6"/>
  <c r="D32" i="6" s="1"/>
  <c r="D22" i="6"/>
  <c r="C22" i="6"/>
  <c r="C23" i="6" s="1"/>
  <c r="E38" i="6" s="1"/>
  <c r="V21" i="6"/>
  <c r="M21" i="6"/>
  <c r="H21" i="6"/>
  <c r="F21" i="6"/>
  <c r="B26" i="6" s="1"/>
  <c r="C21" i="6"/>
  <c r="M20" i="6"/>
  <c r="D15" i="2"/>
  <c r="D14" i="2"/>
  <c r="B14" i="2"/>
  <c r="B12" i="2"/>
  <c r="B10" i="2"/>
  <c r="B11" i="2" s="1"/>
  <c r="B9" i="2"/>
  <c r="A10" i="1"/>
  <c r="A9" i="1"/>
  <c r="A8" i="1"/>
  <c r="A7" i="1"/>
  <c r="A6" i="1"/>
  <c r="E3" i="1"/>
  <c r="F32" i="8"/>
  <c r="C33" i="8"/>
  <c r="AN190" i="8"/>
  <c r="AN187" i="8"/>
  <c r="AN181" i="8"/>
  <c r="AN178" i="8"/>
  <c r="AN172" i="8"/>
  <c r="AN169" i="8"/>
  <c r="AN163" i="8"/>
  <c r="AN160" i="8"/>
  <c r="AN154" i="8"/>
  <c r="AN151" i="8"/>
  <c r="AN145" i="8"/>
  <c r="AN142" i="8"/>
  <c r="AN136" i="8"/>
  <c r="AN133" i="8"/>
  <c r="AN127" i="8"/>
  <c r="AN124" i="8"/>
  <c r="AN118" i="8"/>
  <c r="AN115" i="8"/>
  <c r="AN109" i="8"/>
  <c r="AN106" i="8"/>
  <c r="AN100" i="8"/>
  <c r="AN97" i="8"/>
  <c r="AN91" i="8"/>
  <c r="AN88" i="8"/>
  <c r="AN82" i="8"/>
  <c r="AN79" i="8"/>
  <c r="AN73" i="8"/>
  <c r="AN70" i="8"/>
  <c r="AN64" i="8"/>
  <c r="AN61" i="8"/>
  <c r="AN55" i="8"/>
  <c r="AN52" i="8"/>
  <c r="AN191" i="8"/>
  <c r="AN188" i="8"/>
  <c r="AN182" i="8"/>
  <c r="AN179" i="8"/>
  <c r="AN173" i="8"/>
  <c r="AN170" i="8"/>
  <c r="AN164" i="8"/>
  <c r="AN161" i="8"/>
  <c r="AN155" i="8"/>
  <c r="AN152" i="8"/>
  <c r="AN146" i="8"/>
  <c r="AN143" i="8"/>
  <c r="AN137" i="8"/>
  <c r="AN134" i="8"/>
  <c r="AN128" i="8"/>
  <c r="AN125" i="8"/>
  <c r="AN119" i="8"/>
  <c r="AN116" i="8"/>
  <c r="AN110" i="8"/>
  <c r="AN107" i="8"/>
  <c r="AN101" i="8"/>
  <c r="AN98" i="8"/>
  <c r="AN92" i="8"/>
  <c r="AN89" i="8"/>
  <c r="AN83" i="8"/>
  <c r="AN80" i="8"/>
  <c r="AN74" i="8"/>
  <c r="AN71" i="8"/>
  <c r="AN65" i="8"/>
  <c r="AN62" i="8"/>
  <c r="AN56" i="8"/>
  <c r="AN53" i="8"/>
  <c r="AN192" i="8"/>
  <c r="AN189" i="8"/>
  <c r="AR190" i="8"/>
  <c r="AQ190" i="8" s="1"/>
  <c r="AN183" i="8"/>
  <c r="AR181" i="8"/>
  <c r="AQ181" i="8"/>
  <c r="AN180" i="8"/>
  <c r="AN174" i="8"/>
  <c r="AR172" i="8"/>
  <c r="AQ172" i="8"/>
  <c r="AN171" i="8"/>
  <c r="AN165" i="8"/>
  <c r="AR163" i="8"/>
  <c r="AQ163" i="8"/>
  <c r="AN162" i="8"/>
  <c r="AN156" i="8"/>
  <c r="AR154" i="8"/>
  <c r="AQ154" i="8"/>
  <c r="AN153" i="8"/>
  <c r="AN147" i="8"/>
  <c r="AR145" i="8"/>
  <c r="AQ145" i="8"/>
  <c r="AN144" i="8"/>
  <c r="AN138" i="8"/>
  <c r="AR136" i="8"/>
  <c r="AQ136" i="8"/>
  <c r="AN135" i="8"/>
  <c r="AN129" i="8"/>
  <c r="AR127" i="8"/>
  <c r="AQ127" i="8"/>
  <c r="AN126" i="8"/>
  <c r="AN120" i="8"/>
  <c r="AR118" i="8"/>
  <c r="AQ118" i="8"/>
  <c r="AN117" i="8"/>
  <c r="AN111" i="8"/>
  <c r="AR109" i="8"/>
  <c r="AQ109" i="8"/>
  <c r="AN108" i="8"/>
  <c r="AN102" i="8"/>
  <c r="AR100" i="8"/>
  <c r="AQ100" i="8"/>
  <c r="AN99" i="8"/>
  <c r="AN93" i="8"/>
  <c r="AR91" i="8"/>
  <c r="AQ91" i="8"/>
  <c r="AN90" i="8"/>
  <c r="AN84" i="8"/>
  <c r="AR82" i="8"/>
  <c r="AQ82" i="8"/>
  <c r="AN81" i="8"/>
  <c r="AN75" i="8"/>
  <c r="AR73" i="8"/>
  <c r="AQ73" i="8"/>
  <c r="AN72" i="8"/>
  <c r="AN66" i="8"/>
  <c r="AR64" i="8"/>
  <c r="AQ64" i="8"/>
  <c r="AN63" i="8"/>
  <c r="AN57" i="8"/>
  <c r="AR55" i="8"/>
  <c r="AQ55" i="8"/>
  <c r="AN54" i="8"/>
  <c r="BG2" i="8"/>
  <c r="E33" i="8"/>
  <c r="Y32" i="8"/>
  <c r="J50" i="8"/>
  <c r="P53" i="8" s="1"/>
  <c r="H50" i="8"/>
  <c r="F50" i="8"/>
  <c r="J49" i="8"/>
  <c r="H49" i="8"/>
  <c r="Q57" i="8" s="1"/>
  <c r="AB57" i="8" s="1"/>
  <c r="B49" i="8"/>
  <c r="B50" i="8"/>
  <c r="V56" i="8"/>
  <c r="S53" i="8"/>
  <c r="W56" i="8"/>
  <c r="V55" i="8"/>
  <c r="T53" i="8"/>
  <c r="S52" i="8"/>
  <c r="N54" i="8"/>
  <c r="P57" i="8"/>
  <c r="M57" i="8"/>
  <c r="E57" i="8"/>
  <c r="B57" i="8"/>
  <c r="A57" i="8"/>
  <c r="Q56" i="8"/>
  <c r="N56" i="8"/>
  <c r="F56" i="8"/>
  <c r="C56" i="8"/>
  <c r="F55" i="8"/>
  <c r="P54" i="8"/>
  <c r="M54" i="8"/>
  <c r="E54" i="8"/>
  <c r="H199" i="8" s="1"/>
  <c r="B54" i="8"/>
  <c r="A54" i="8"/>
  <c r="Q53" i="8"/>
  <c r="N53" i="8"/>
  <c r="F53" i="8"/>
  <c r="C53" i="8"/>
  <c r="E56" i="8"/>
  <c r="O55" i="8"/>
  <c r="E55" i="8"/>
  <c r="E53" i="8"/>
  <c r="D53" i="8"/>
  <c r="L52" i="8"/>
  <c r="N57" i="8"/>
  <c r="C57" i="8"/>
  <c r="Q54" i="8"/>
  <c r="F54" i="8"/>
  <c r="I199" i="8"/>
  <c r="M56" i="8"/>
  <c r="M53" i="8"/>
  <c r="C34" i="8"/>
  <c r="E34" i="8" s="1"/>
  <c r="BG3" i="8"/>
  <c r="Y33" i="8"/>
  <c r="AB54" i="8"/>
  <c r="BD57" i="8"/>
  <c r="BC57" i="8"/>
  <c r="BB57" i="8"/>
  <c r="BA57" i="8"/>
  <c r="AZ57" i="8"/>
  <c r="AY57" i="8"/>
  <c r="F201" i="8"/>
  <c r="F202" i="8"/>
  <c r="Z57" i="8" l="1"/>
  <c r="C35" i="8"/>
  <c r="AD52" i="8"/>
  <c r="AD53" i="8"/>
  <c r="Z56" i="8"/>
  <c r="AE53" i="8"/>
  <c r="Z53" i="8"/>
  <c r="AE54" i="8"/>
  <c r="AC54" i="8"/>
  <c r="Z54" i="8"/>
  <c r="AB53" i="8"/>
  <c r="AE57" i="8"/>
  <c r="AC57" i="8"/>
  <c r="AC53" i="8"/>
  <c r="P56" i="8"/>
  <c r="AB56" i="8" s="1"/>
  <c r="A52" i="8"/>
  <c r="A55" i="8"/>
  <c r="A56" i="8"/>
  <c r="T52" i="8"/>
  <c r="D57" i="8"/>
  <c r="F52" i="8"/>
  <c r="W55" i="8"/>
  <c r="AD54" i="8" s="1"/>
  <c r="C55" i="8"/>
  <c r="F200" i="8" s="1"/>
  <c r="D54" i="8"/>
  <c r="G199" i="8" s="1"/>
  <c r="C52" i="8"/>
  <c r="D56" i="8"/>
  <c r="D55" i="8"/>
  <c r="B53" i="8"/>
  <c r="O52" i="8"/>
  <c r="Z52" i="8" s="1"/>
  <c r="D52" i="8"/>
  <c r="L55" i="8"/>
  <c r="A53" i="8"/>
  <c r="E52" i="8"/>
  <c r="I34" i="6"/>
  <c r="K34" i="6"/>
  <c r="C37" i="5"/>
  <c r="B52" i="8"/>
  <c r="B55" i="8"/>
  <c r="B56" i="8"/>
  <c r="H28" i="6"/>
  <c r="C26" i="5"/>
  <c r="C54" i="8"/>
  <c r="F199" i="8" s="1"/>
  <c r="F57" i="8"/>
  <c r="C28" i="6"/>
  <c r="H48" i="6" s="1"/>
  <c r="A30" i="6"/>
  <c r="E49" i="6" s="1"/>
  <c r="B29" i="6"/>
  <c r="F50" i="6" s="1"/>
  <c r="J28" i="6"/>
  <c r="B27" i="6"/>
  <c r="A29" i="6"/>
  <c r="E50" i="6" s="1"/>
  <c r="C30" i="6"/>
  <c r="D29" i="6"/>
  <c r="D27" i="6"/>
  <c r="G47" i="6" s="1"/>
  <c r="D42" i="6"/>
  <c r="F48" i="6" s="1"/>
  <c r="B40" i="6"/>
  <c r="D38" i="6"/>
  <c r="C29" i="6"/>
  <c r="B56" i="5"/>
  <c r="D58" i="5" s="1"/>
  <c r="C58" i="5" s="1"/>
  <c r="B53" i="5"/>
  <c r="D54" i="5" s="1"/>
  <c r="C54" i="5" s="1"/>
  <c r="C52" i="5"/>
  <c r="D28" i="6"/>
  <c r="G48" i="6" s="1"/>
  <c r="E32" i="6"/>
  <c r="B36" i="6" s="1"/>
  <c r="G52" i="6" s="1"/>
  <c r="AD45" i="7"/>
  <c r="AC46" i="7"/>
  <c r="AA47" i="7"/>
  <c r="AC48" i="7"/>
  <c r="AB51" i="7"/>
  <c r="AC52" i="7"/>
  <c r="AA53" i="7"/>
  <c r="AC54" i="7"/>
  <c r="AC57" i="7"/>
  <c r="AA58" i="7"/>
  <c r="AC59" i="7"/>
  <c r="AA60" i="7"/>
  <c r="AA64" i="7"/>
  <c r="AC65" i="7"/>
  <c r="AA66" i="7"/>
  <c r="AA70" i="7"/>
  <c r="AC71" i="7"/>
  <c r="AA72" i="7"/>
  <c r="AA76" i="7"/>
  <c r="AC77" i="7"/>
  <c r="AA78" i="7"/>
  <c r="AA82" i="7"/>
  <c r="AD83" i="7"/>
  <c r="AC84" i="7"/>
  <c r="AC87" i="7"/>
  <c r="AA88" i="7"/>
  <c r="AC89" i="7"/>
  <c r="AA90" i="7"/>
  <c r="AB94" i="7"/>
  <c r="AA95" i="7"/>
  <c r="AC96" i="7"/>
  <c r="R21" i="6"/>
  <c r="R22" i="6" s="1"/>
  <c r="F22" i="6"/>
  <c r="A27" i="6"/>
  <c r="A28" i="6"/>
  <c r="D30" i="6"/>
  <c r="R31" i="7"/>
  <c r="R32" i="7" s="1"/>
  <c r="C32" i="7"/>
  <c r="F36" i="7"/>
  <c r="B68" i="7" s="1"/>
  <c r="C71" i="7" s="1"/>
  <c r="C37" i="7"/>
  <c r="E74" i="7" s="1"/>
  <c r="G38" i="7"/>
  <c r="F39" i="7"/>
  <c r="F41" i="7"/>
  <c r="AA45" i="7"/>
  <c r="AD46" i="7"/>
  <c r="AB47" i="7"/>
  <c r="AD48" i="7"/>
  <c r="AC51" i="7"/>
  <c r="AD52" i="7"/>
  <c r="AB53" i="7"/>
  <c r="AD54" i="7"/>
  <c r="AD57" i="7"/>
  <c r="AB58" i="7"/>
  <c r="AD59" i="7"/>
  <c r="AB60" i="7"/>
  <c r="AB64" i="7"/>
  <c r="AD65" i="7"/>
  <c r="AB66" i="7"/>
  <c r="AB70" i="7"/>
  <c r="AD71" i="7"/>
  <c r="AB72" i="7"/>
  <c r="AB76" i="7"/>
  <c r="AD77" i="7"/>
  <c r="AB78" i="7"/>
  <c r="AA81" i="7"/>
  <c r="AB82" i="7"/>
  <c r="AD84" i="7"/>
  <c r="AD87" i="7"/>
  <c r="AB88" i="7"/>
  <c r="AD89" i="7"/>
  <c r="AB90" i="7"/>
  <c r="AC94" i="7"/>
  <c r="AB95" i="7"/>
  <c r="BF2" i="8"/>
  <c r="D33" i="8"/>
  <c r="X32" i="8"/>
  <c r="S31" i="7"/>
  <c r="E33" i="7"/>
  <c r="D50" i="7" s="1"/>
  <c r="C35" i="7"/>
  <c r="G36" i="7"/>
  <c r="D68" i="7" s="1"/>
  <c r="B70" i="7" s="1"/>
  <c r="D37" i="7"/>
  <c r="G39" i="7"/>
  <c r="D40" i="7"/>
  <c r="G41" i="7"/>
  <c r="AB45" i="7"/>
  <c r="AC47" i="7"/>
  <c r="AA48" i="7"/>
  <c r="AA52" i="7"/>
  <c r="AC53" i="7"/>
  <c r="AA54" i="7"/>
  <c r="AA57" i="7"/>
  <c r="AC58" i="7"/>
  <c r="AA59" i="7"/>
  <c r="AC60" i="7"/>
  <c r="AC64" i="7"/>
  <c r="AA65" i="7"/>
  <c r="AC66" i="7"/>
  <c r="AC70" i="7"/>
  <c r="AA71" i="7"/>
  <c r="AC72" i="7"/>
  <c r="AC76" i="7"/>
  <c r="AA77" i="7"/>
  <c r="AC78" i="7"/>
  <c r="AB81" i="7"/>
  <c r="AC82" i="7"/>
  <c r="AC88" i="7"/>
  <c r="AC90" i="7"/>
  <c r="K28" i="6"/>
  <c r="F33" i="7"/>
  <c r="R33" i="7"/>
  <c r="C34" i="7"/>
  <c r="B56" i="7" s="1"/>
  <c r="R34" i="7"/>
  <c r="D35" i="7"/>
  <c r="B62" i="7" s="1"/>
  <c r="F37" i="7"/>
  <c r="B74" i="7" s="1"/>
  <c r="C38" i="7"/>
  <c r="B80" i="7" s="1"/>
  <c r="AC81" i="7"/>
  <c r="AA94" i="7"/>
  <c r="AC95" i="7"/>
  <c r="D37" i="8"/>
  <c r="X36" i="8"/>
  <c r="BF6" i="8"/>
  <c r="AC100" i="7"/>
  <c r="AA101" i="7"/>
  <c r="AC102" i="7"/>
  <c r="AY52" i="8"/>
  <c r="BC52" i="8"/>
  <c r="AY55" i="8"/>
  <c r="BC55" i="8"/>
  <c r="BC62" i="8"/>
  <c r="AY62" i="8"/>
  <c r="BB62" i="8"/>
  <c r="BD62" i="8"/>
  <c r="BC64" i="8"/>
  <c r="BB65" i="8"/>
  <c r="AZ70" i="8"/>
  <c r="BD71" i="8"/>
  <c r="AZ72" i="8"/>
  <c r="AD96" i="7"/>
  <c r="AD100" i="7"/>
  <c r="AB101" i="7"/>
  <c r="AD102" i="7"/>
  <c r="BD61" i="8"/>
  <c r="BC61" i="8"/>
  <c r="AY61" i="8"/>
  <c r="BB63" i="8"/>
  <c r="BC63" i="8"/>
  <c r="BD64" i="8"/>
  <c r="AY71" i="8"/>
  <c r="BA73" i="8"/>
  <c r="BB69" i="8"/>
  <c r="BB74" i="8" s="1"/>
  <c r="BD73" i="8"/>
  <c r="AZ73" i="8"/>
  <c r="AA96" i="7"/>
  <c r="AC101" i="7"/>
  <c r="AA102" i="7"/>
  <c r="BA52" i="8"/>
  <c r="BB53" i="8"/>
  <c r="BB54" i="8"/>
  <c r="BA55" i="8"/>
  <c r="BA56" i="8"/>
  <c r="AZ60" i="8"/>
  <c r="AZ63" i="8" s="1"/>
  <c r="BD63" i="8"/>
  <c r="AY64" i="8"/>
  <c r="BD65" i="8"/>
  <c r="AZ65" i="8"/>
  <c r="BD70" i="8"/>
  <c r="AY73" i="8"/>
  <c r="BA74" i="8"/>
  <c r="BD74" i="8"/>
  <c r="AZ74" i="8"/>
  <c r="BC74" i="8"/>
  <c r="BA75" i="8"/>
  <c r="BD75" i="8"/>
  <c r="AZ75" i="8"/>
  <c r="BC75" i="8"/>
  <c r="AY75" i="8"/>
  <c r="AY53" i="8"/>
  <c r="AY54" i="8"/>
  <c r="BA60" i="8"/>
  <c r="BA63" i="8" s="1"/>
  <c r="BB61" i="8"/>
  <c r="BA62" i="8"/>
  <c r="AY63" i="8"/>
  <c r="BB64" i="8"/>
  <c r="AY65" i="8"/>
  <c r="BA66" i="8"/>
  <c r="BD66" i="8"/>
  <c r="AZ66" i="8"/>
  <c r="AY70" i="8"/>
  <c r="AY74" i="8"/>
  <c r="AZ79" i="8"/>
  <c r="BD79" i="8"/>
  <c r="AZ80" i="8"/>
  <c r="BD80" i="8"/>
  <c r="AY82" i="8"/>
  <c r="BC82" i="8"/>
  <c r="AY83" i="8"/>
  <c r="BC83" i="8"/>
  <c r="AY84" i="8"/>
  <c r="BC84" i="8"/>
  <c r="AZ88" i="8"/>
  <c r="BD88" i="8"/>
  <c r="AZ89" i="8"/>
  <c r="BD89" i="8"/>
  <c r="AY91" i="8"/>
  <c r="BC91" i="8"/>
  <c r="AY92" i="8"/>
  <c r="BC92" i="8"/>
  <c r="AY93" i="8"/>
  <c r="BC93" i="8"/>
  <c r="AZ97" i="8"/>
  <c r="BD97" i="8"/>
  <c r="AZ98" i="8"/>
  <c r="BD98" i="8"/>
  <c r="AY100" i="8"/>
  <c r="BC100" i="8"/>
  <c r="AY101" i="8"/>
  <c r="BC101" i="8"/>
  <c r="AY102" i="8"/>
  <c r="BC102" i="8"/>
  <c r="AZ106" i="8"/>
  <c r="BD106" i="8"/>
  <c r="AZ107" i="8"/>
  <c r="BD107" i="8"/>
  <c r="AY109" i="8"/>
  <c r="BC109" i="8"/>
  <c r="AY110" i="8"/>
  <c r="BC110" i="8"/>
  <c r="AY111" i="8"/>
  <c r="BC111" i="8"/>
  <c r="AZ115" i="8"/>
  <c r="BD115" i="8"/>
  <c r="AZ116" i="8"/>
  <c r="BD116" i="8"/>
  <c r="AY118" i="8"/>
  <c r="BC118" i="8"/>
  <c r="AY119" i="8"/>
  <c r="BC119" i="8"/>
  <c r="AY120" i="8"/>
  <c r="BC120" i="8"/>
  <c r="AZ124" i="8"/>
  <c r="BD124" i="8"/>
  <c r="AZ125" i="8"/>
  <c r="BD125" i="8"/>
  <c r="AY128" i="8"/>
  <c r="BC128" i="8"/>
  <c r="AY129" i="8"/>
  <c r="BC129" i="8"/>
  <c r="AZ133" i="8"/>
  <c r="BD133" i="8"/>
  <c r="AZ134" i="8"/>
  <c r="BD134" i="8"/>
  <c r="BA70" i="8"/>
  <c r="BA71" i="8"/>
  <c r="BA72" i="8"/>
  <c r="BA79" i="8"/>
  <c r="BA80" i="8"/>
  <c r="BA81" i="8"/>
  <c r="AZ82" i="8"/>
  <c r="BD82" i="8"/>
  <c r="AZ83" i="8"/>
  <c r="BD83" i="8"/>
  <c r="AZ84" i="8"/>
  <c r="BD84" i="8"/>
  <c r="BA88" i="8"/>
  <c r="BA89" i="8"/>
  <c r="BA90" i="8"/>
  <c r="AZ91" i="8"/>
  <c r="BD91" i="8"/>
  <c r="AZ92" i="8"/>
  <c r="BD92" i="8"/>
  <c r="AZ93" i="8"/>
  <c r="BD93" i="8"/>
  <c r="BA97" i="8"/>
  <c r="BA98" i="8"/>
  <c r="BA99" i="8"/>
  <c r="AZ100" i="8"/>
  <c r="BD100" i="8"/>
  <c r="AZ101" i="8"/>
  <c r="BD101" i="8"/>
  <c r="AZ102" i="8"/>
  <c r="BD102" i="8"/>
  <c r="BA106" i="8"/>
  <c r="BA107" i="8"/>
  <c r="BA108" i="8"/>
  <c r="AZ109" i="8"/>
  <c r="BD109" i="8"/>
  <c r="AZ110" i="8"/>
  <c r="BD110" i="8"/>
  <c r="AZ111" i="8"/>
  <c r="BD111" i="8"/>
  <c r="BA115" i="8"/>
  <c r="BA116" i="8"/>
  <c r="BA117" i="8"/>
  <c r="AZ118" i="8"/>
  <c r="BD118" i="8"/>
  <c r="AZ119" i="8"/>
  <c r="BD119" i="8"/>
  <c r="AZ120" i="8"/>
  <c r="BD120" i="8"/>
  <c r="BA124" i="8"/>
  <c r="BA125" i="8"/>
  <c r="BA126" i="8"/>
  <c r="AZ127" i="8"/>
  <c r="BD127" i="8"/>
  <c r="AZ128" i="8"/>
  <c r="BD128" i="8"/>
  <c r="AZ129" i="8"/>
  <c r="BD129" i="8"/>
  <c r="BA133" i="8"/>
  <c r="BA134" i="8"/>
  <c r="BA135" i="8"/>
  <c r="AZ136" i="8"/>
  <c r="BA137" i="8"/>
  <c r="BD137" i="8"/>
  <c r="AZ137" i="8"/>
  <c r="BC137" i="8"/>
  <c r="BA138" i="8"/>
  <c r="BD138" i="8"/>
  <c r="AZ138" i="8"/>
  <c r="BC138" i="8"/>
  <c r="AY138" i="8"/>
  <c r="BB78" i="8"/>
  <c r="BB83" i="8" s="1"/>
  <c r="BA82" i="8"/>
  <c r="BA83" i="8"/>
  <c r="BA84" i="8"/>
  <c r="BB87" i="8"/>
  <c r="BB91" i="8" s="1"/>
  <c r="BA91" i="8"/>
  <c r="BA92" i="8"/>
  <c r="BA93" i="8"/>
  <c r="BB96" i="8"/>
  <c r="BB100" i="8" s="1"/>
  <c r="BA100" i="8"/>
  <c r="BA101" i="8"/>
  <c r="BA102" i="8"/>
  <c r="BB105" i="8"/>
  <c r="BB106" i="8" s="1"/>
  <c r="BA109" i="8"/>
  <c r="BA110" i="8"/>
  <c r="BA111" i="8"/>
  <c r="BB114" i="8"/>
  <c r="BB118" i="8" s="1"/>
  <c r="BA118" i="8"/>
  <c r="BA119" i="8"/>
  <c r="BA120" i="8"/>
  <c r="BB123" i="8"/>
  <c r="BB129" i="8" s="1"/>
  <c r="BA127" i="8"/>
  <c r="BA128" i="8"/>
  <c r="BA129" i="8"/>
  <c r="BB132" i="8"/>
  <c r="BB137" i="8" s="1"/>
  <c r="AY137" i="8"/>
  <c r="AY142" i="8"/>
  <c r="AY143" i="8"/>
  <c r="AY79" i="8"/>
  <c r="BC79" i="8"/>
  <c r="AY80" i="8"/>
  <c r="BC80" i="8"/>
  <c r="AY88" i="8"/>
  <c r="BC88" i="8"/>
  <c r="AY89" i="8"/>
  <c r="BC89" i="8"/>
  <c r="AY97" i="8"/>
  <c r="BC97" i="8"/>
  <c r="AY98" i="8"/>
  <c r="BC98" i="8"/>
  <c r="AY106" i="8"/>
  <c r="BC106" i="8"/>
  <c r="AY107" i="8"/>
  <c r="BC107" i="8"/>
  <c r="AY115" i="8"/>
  <c r="BC115" i="8"/>
  <c r="AY116" i="8"/>
  <c r="BC116" i="8"/>
  <c r="AY124" i="8"/>
  <c r="BC124" i="8"/>
  <c r="AY125" i="8"/>
  <c r="BC125" i="8"/>
  <c r="AY133" i="8"/>
  <c r="BC133" i="8"/>
  <c r="AY134" i="8"/>
  <c r="BC134" i="8"/>
  <c r="BA136" i="8"/>
  <c r="BD136" i="8"/>
  <c r="BC136" i="8"/>
  <c r="BC142" i="8"/>
  <c r="BC143" i="8"/>
  <c r="AY151" i="8"/>
  <c r="BC151" i="8"/>
  <c r="AY152" i="8"/>
  <c r="BC152" i="8"/>
  <c r="AY160" i="8"/>
  <c r="BC160" i="8"/>
  <c r="AY161" i="8"/>
  <c r="BC161" i="8"/>
  <c r="BB165" i="8"/>
  <c r="AY169" i="8"/>
  <c r="BC169" i="8"/>
  <c r="AY170" i="8"/>
  <c r="BC170" i="8"/>
  <c r="AY178" i="8"/>
  <c r="BC178" i="8"/>
  <c r="AY179" i="8"/>
  <c r="BC179" i="8"/>
  <c r="AY187" i="8"/>
  <c r="BC187" i="8"/>
  <c r="AY188" i="8"/>
  <c r="BC188" i="8"/>
  <c r="AY189" i="8"/>
  <c r="BC189" i="8"/>
  <c r="AZ191" i="8"/>
  <c r="BD191" i="8"/>
  <c r="AZ192" i="8"/>
  <c r="BD192" i="8"/>
  <c r="BD141" i="8"/>
  <c r="BD142" i="8" s="1"/>
  <c r="AZ142" i="8"/>
  <c r="AZ143" i="8"/>
  <c r="BD143" i="8"/>
  <c r="AZ144" i="8"/>
  <c r="AY145" i="8"/>
  <c r="BC145" i="8"/>
  <c r="AY146" i="8"/>
  <c r="BC146" i="8"/>
  <c r="AY147" i="8"/>
  <c r="BC147" i="8"/>
  <c r="BD150" i="8"/>
  <c r="AZ151" i="8"/>
  <c r="BD151" i="8"/>
  <c r="AZ152" i="8"/>
  <c r="BD152" i="8"/>
  <c r="AZ153" i="8"/>
  <c r="BD153" i="8"/>
  <c r="AY154" i="8"/>
  <c r="BC154" i="8"/>
  <c r="AY155" i="8"/>
  <c r="BC155" i="8"/>
  <c r="AY156" i="8"/>
  <c r="BC156" i="8"/>
  <c r="BD159" i="8"/>
  <c r="AZ160" i="8"/>
  <c r="BD160" i="8"/>
  <c r="AZ161" i="8"/>
  <c r="BD161" i="8"/>
  <c r="AZ162" i="8"/>
  <c r="BD162" i="8"/>
  <c r="AY163" i="8"/>
  <c r="BC163" i="8"/>
  <c r="AY164" i="8"/>
  <c r="BC164" i="8"/>
  <c r="AY165" i="8"/>
  <c r="BC165" i="8"/>
  <c r="BD168" i="8"/>
  <c r="BD172" i="8" s="1"/>
  <c r="AZ169" i="8"/>
  <c r="AZ170" i="8"/>
  <c r="BD170" i="8"/>
  <c r="AZ171" i="8"/>
  <c r="AY172" i="8"/>
  <c r="BC172" i="8"/>
  <c r="AY173" i="8"/>
  <c r="BC173" i="8"/>
  <c r="AY174" i="8"/>
  <c r="BC174" i="8"/>
  <c r="BD177" i="8"/>
  <c r="BD178" i="8" s="1"/>
  <c r="AZ178" i="8"/>
  <c r="AZ179" i="8"/>
  <c r="BD179" i="8"/>
  <c r="AZ180" i="8"/>
  <c r="AY181" i="8"/>
  <c r="BC181" i="8"/>
  <c r="AY182" i="8"/>
  <c r="BC182" i="8"/>
  <c r="AY183" i="8"/>
  <c r="BC183" i="8"/>
  <c r="AZ187" i="8"/>
  <c r="BD187" i="8"/>
  <c r="AZ188" i="8"/>
  <c r="BD188" i="8"/>
  <c r="AZ189" i="8"/>
  <c r="BD189" i="8"/>
  <c r="BA191" i="8"/>
  <c r="BA192" i="8"/>
  <c r="BA142" i="8"/>
  <c r="BA143" i="8"/>
  <c r="BA144" i="8"/>
  <c r="AZ145" i="8"/>
  <c r="BD145" i="8"/>
  <c r="AZ146" i="8"/>
  <c r="BD146" i="8"/>
  <c r="AZ147" i="8"/>
  <c r="BD147" i="8"/>
  <c r="BA151" i="8"/>
  <c r="BA152" i="8"/>
  <c r="BA153" i="8"/>
  <c r="AZ154" i="8"/>
  <c r="BD154" i="8"/>
  <c r="AZ155" i="8"/>
  <c r="BD155" i="8"/>
  <c r="AZ156" i="8"/>
  <c r="BD156" i="8"/>
  <c r="BA160" i="8"/>
  <c r="BA161" i="8"/>
  <c r="BA162" i="8"/>
  <c r="AZ163" i="8"/>
  <c r="BD163" i="8"/>
  <c r="AZ164" i="8"/>
  <c r="BD164" i="8"/>
  <c r="AZ165" i="8"/>
  <c r="BD165" i="8"/>
  <c r="BA169" i="8"/>
  <c r="BA170" i="8"/>
  <c r="BA171" i="8"/>
  <c r="AZ172" i="8"/>
  <c r="AZ173" i="8"/>
  <c r="AZ174" i="8"/>
  <c r="BA178" i="8"/>
  <c r="BA179" i="8"/>
  <c r="BA180" i="8"/>
  <c r="AZ181" i="8"/>
  <c r="BD181" i="8"/>
  <c r="AZ182" i="8"/>
  <c r="BD182" i="8"/>
  <c r="AZ183" i="8"/>
  <c r="BD183" i="8"/>
  <c r="BA187" i="8"/>
  <c r="BA188" i="8"/>
  <c r="BA190" i="8"/>
  <c r="BB191" i="8"/>
  <c r="BB192" i="8"/>
  <c r="BB141" i="8"/>
  <c r="BB145" i="8" s="1"/>
  <c r="BB150" i="8"/>
  <c r="BB155" i="8" s="1"/>
  <c r="BB159" i="8"/>
  <c r="BB160" i="8" s="1"/>
  <c r="BB168" i="8"/>
  <c r="BB169" i="8" s="1"/>
  <c r="BB177" i="8"/>
  <c r="BB181" i="8" s="1"/>
  <c r="AY191" i="8"/>
  <c r="AY192" i="8"/>
  <c r="J82" i="7" l="1"/>
  <c r="H82" i="7"/>
  <c r="H58" i="7"/>
  <c r="J58" i="7"/>
  <c r="K52" i="7"/>
  <c r="D52" i="7"/>
  <c r="P114" i="7" s="1"/>
  <c r="B54" i="7"/>
  <c r="L118" i="7" s="1"/>
  <c r="I52" i="7"/>
  <c r="D54" i="7"/>
  <c r="B52" i="7"/>
  <c r="J64" i="7"/>
  <c r="H64" i="7"/>
  <c r="BD173" i="8"/>
  <c r="BD180" i="8"/>
  <c r="BD144" i="8"/>
  <c r="BB174" i="8"/>
  <c r="BB164" i="8"/>
  <c r="BB154" i="8"/>
  <c r="BB162" i="8"/>
  <c r="BB144" i="8"/>
  <c r="BB161" i="8"/>
  <c r="BB117" i="8"/>
  <c r="BB98" i="8"/>
  <c r="BB75" i="8"/>
  <c r="BB126" i="8"/>
  <c r="BB107" i="8"/>
  <c r="BB84" i="8"/>
  <c r="BB72" i="8"/>
  <c r="AZ62" i="8"/>
  <c r="BB128" i="8"/>
  <c r="BB99" i="8"/>
  <c r="BB80" i="8"/>
  <c r="BA64" i="8"/>
  <c r="BB125" i="8"/>
  <c r="BB102" i="8"/>
  <c r="J76" i="7"/>
  <c r="H76" i="7"/>
  <c r="A77" i="7"/>
  <c r="M117" i="7" s="1"/>
  <c r="E44" i="7"/>
  <c r="D44" i="7"/>
  <c r="F32" i="7"/>
  <c r="B44" i="7" s="1"/>
  <c r="H46" i="7"/>
  <c r="D33" i="7"/>
  <c r="C27" i="6"/>
  <c r="H47" i="6" s="1"/>
  <c r="D72" i="7"/>
  <c r="AC55" i="8"/>
  <c r="AB55" i="8"/>
  <c r="AE55" i="8"/>
  <c r="AA55" i="8"/>
  <c r="Z55" i="8"/>
  <c r="AD55" i="8"/>
  <c r="AA53" i="8"/>
  <c r="AA56" i="8"/>
  <c r="AA54" i="8"/>
  <c r="AL54" i="8" s="1"/>
  <c r="AM54" i="8" s="1"/>
  <c r="AA57" i="8"/>
  <c r="AI57" i="8" s="1"/>
  <c r="O32" i="8" s="1"/>
  <c r="AD57" i="8"/>
  <c r="AI54" i="8"/>
  <c r="I32" i="8" s="1"/>
  <c r="AI53" i="8"/>
  <c r="H32" i="8" s="1"/>
  <c r="AP53" i="8"/>
  <c r="AL53" i="8"/>
  <c r="AM53" i="8" s="1"/>
  <c r="AD56" i="8"/>
  <c r="AB52" i="8"/>
  <c r="AP52" i="8" s="1"/>
  <c r="AQ52" i="8" s="1"/>
  <c r="AA52" i="8"/>
  <c r="AP54" i="8" s="1"/>
  <c r="AL57" i="8"/>
  <c r="AM57" i="8" s="1"/>
  <c r="BD171" i="8"/>
  <c r="BD169" i="8"/>
  <c r="BB183" i="8"/>
  <c r="BB173" i="8"/>
  <c r="BB163" i="8"/>
  <c r="BB147" i="8"/>
  <c r="BB180" i="8"/>
  <c r="BB138" i="8"/>
  <c r="BB143" i="8"/>
  <c r="BB179" i="8"/>
  <c r="BB153" i="8"/>
  <c r="BB135" i="8"/>
  <c r="BB115" i="8"/>
  <c r="BB92" i="8"/>
  <c r="BB124" i="8"/>
  <c r="BB101" i="8"/>
  <c r="BB82" i="8"/>
  <c r="BA65" i="8"/>
  <c r="BA61" i="8"/>
  <c r="BB127" i="8"/>
  <c r="BB97" i="8"/>
  <c r="BB119" i="8"/>
  <c r="B50" i="7"/>
  <c r="B51" i="7" s="1"/>
  <c r="D80" i="7"/>
  <c r="B32" i="6"/>
  <c r="D23" i="6"/>
  <c r="B38" i="6" s="1"/>
  <c r="D74" i="7"/>
  <c r="B77" i="7" s="1"/>
  <c r="N117" i="7" s="1"/>
  <c r="AE56" i="8"/>
  <c r="AC52" i="8"/>
  <c r="AE52" i="8"/>
  <c r="BD174" i="8"/>
  <c r="BB182" i="8"/>
  <c r="BB172" i="8"/>
  <c r="BB156" i="8"/>
  <c r="BB146" i="8"/>
  <c r="BB178" i="8"/>
  <c r="BB152" i="8"/>
  <c r="BB142" i="8"/>
  <c r="BB171" i="8"/>
  <c r="BB151" i="8"/>
  <c r="BB133" i="8"/>
  <c r="BB111" i="8"/>
  <c r="BB81" i="8"/>
  <c r="BB73" i="8"/>
  <c r="BB120" i="8"/>
  <c r="BB90" i="8"/>
  <c r="BB70" i="8"/>
  <c r="BB116" i="8"/>
  <c r="BB93" i="8"/>
  <c r="AZ64" i="8"/>
  <c r="AZ61" i="8"/>
  <c r="E240" i="8" s="1"/>
  <c r="BB108" i="8"/>
  <c r="BB89" i="8"/>
  <c r="BB71" i="8"/>
  <c r="B72" i="7"/>
  <c r="J114" i="7" s="1"/>
  <c r="I70" i="7"/>
  <c r="K70" i="7"/>
  <c r="D70" i="7"/>
  <c r="L112" i="7" s="1"/>
  <c r="G118" i="7"/>
  <c r="H117" i="7"/>
  <c r="E116" i="7"/>
  <c r="F115" i="7"/>
  <c r="N110" i="7"/>
  <c r="F110" i="7"/>
  <c r="N109" i="7"/>
  <c r="F109" i="7"/>
  <c r="N108" i="7"/>
  <c r="N107" i="7"/>
  <c r="F118" i="7"/>
  <c r="G117" i="7"/>
  <c r="H116" i="7"/>
  <c r="E115" i="7"/>
  <c r="M110" i="7"/>
  <c r="E110" i="7"/>
  <c r="M109" i="7"/>
  <c r="E109" i="7"/>
  <c r="M108" i="7"/>
  <c r="M107" i="7"/>
  <c r="E118" i="7"/>
  <c r="F117" i="7"/>
  <c r="G116" i="7"/>
  <c r="H115" i="7"/>
  <c r="P110" i="7"/>
  <c r="P109" i="7"/>
  <c r="P108" i="7"/>
  <c r="H108" i="7"/>
  <c r="P107" i="7"/>
  <c r="H107" i="7"/>
  <c r="H118" i="7"/>
  <c r="E117" i="7"/>
  <c r="F116" i="7"/>
  <c r="G115" i="7"/>
  <c r="O110" i="7"/>
  <c r="O109" i="7"/>
  <c r="O108" i="7"/>
  <c r="G108" i="7"/>
  <c r="O107" i="7"/>
  <c r="G107" i="7"/>
  <c r="A75" i="7"/>
  <c r="C75" i="7" s="1"/>
  <c r="O115" i="7" s="1"/>
  <c r="C77" i="7"/>
  <c r="B76" i="7"/>
  <c r="D78" i="7"/>
  <c r="A76" i="7"/>
  <c r="B75" i="7"/>
  <c r="G49" i="6"/>
  <c r="D36" i="6"/>
  <c r="J52" i="6" s="1"/>
  <c r="B34" i="6"/>
  <c r="A34" i="6"/>
  <c r="H49" i="6" s="1"/>
  <c r="B33" i="6"/>
  <c r="G50" i="6" s="1"/>
  <c r="C35" i="6"/>
  <c r="A33" i="6"/>
  <c r="C33" i="6" s="1"/>
  <c r="I50" i="6" s="1"/>
  <c r="I40" i="6"/>
  <c r="B42" i="6"/>
  <c r="J48" i="6" s="1"/>
  <c r="K40" i="6"/>
  <c r="D40" i="6"/>
  <c r="F52" i="6" s="1"/>
  <c r="B69" i="7"/>
  <c r="D34" i="6"/>
  <c r="J49" i="6" s="1"/>
  <c r="AC56" i="8"/>
  <c r="BB170" i="8"/>
  <c r="BB109" i="8"/>
  <c r="BB79" i="8"/>
  <c r="BB136" i="8"/>
  <c r="BB88" i="8"/>
  <c r="BB134" i="8"/>
  <c r="BB110" i="8"/>
  <c r="B38" i="8"/>
  <c r="E80" i="7"/>
  <c r="C39" i="7"/>
  <c r="D56" i="7"/>
  <c r="A60" i="7" s="1"/>
  <c r="E112" i="7" s="1"/>
  <c r="E56" i="7"/>
  <c r="E62" i="7"/>
  <c r="D62" i="7"/>
  <c r="A66" i="7" s="1"/>
  <c r="I116" i="7" s="1"/>
  <c r="B34" i="8"/>
  <c r="F33" i="8"/>
  <c r="D71" i="7"/>
  <c r="J70" i="7"/>
  <c r="C70" i="7"/>
  <c r="K112" i="7" s="1"/>
  <c r="A72" i="7"/>
  <c r="I114" i="7" s="1"/>
  <c r="D69" i="7"/>
  <c r="L111" i="7" s="1"/>
  <c r="B71" i="7"/>
  <c r="J113" i="7" s="1"/>
  <c r="H70" i="7"/>
  <c r="C72" i="7"/>
  <c r="A71" i="7"/>
  <c r="I113" i="7" s="1"/>
  <c r="E249" i="8"/>
  <c r="O28" i="6"/>
  <c r="K21" i="6"/>
  <c r="L21" i="6" s="1"/>
  <c r="A70" i="7"/>
  <c r="A69" i="7"/>
  <c r="C69" i="7" s="1"/>
  <c r="K111" i="7" s="1"/>
  <c r="AP56" i="8"/>
  <c r="AI56" i="8"/>
  <c r="N32" i="8" s="1"/>
  <c r="AL56" i="8"/>
  <c r="AM56" i="8" s="1"/>
  <c r="Y34" i="8"/>
  <c r="BG4" i="8"/>
  <c r="E35" i="8"/>
  <c r="AQ54" i="8" l="1"/>
  <c r="K32" i="8"/>
  <c r="H59" i="8"/>
  <c r="B59" i="8"/>
  <c r="F59" i="8"/>
  <c r="J58" i="8"/>
  <c r="J59" i="8"/>
  <c r="H58" i="8"/>
  <c r="A63" i="7"/>
  <c r="C63" i="7" s="1"/>
  <c r="M111" i="7" s="1"/>
  <c r="C65" i="7"/>
  <c r="B64" i="7"/>
  <c r="D66" i="7"/>
  <c r="A64" i="7"/>
  <c r="B63" i="7"/>
  <c r="A81" i="7"/>
  <c r="C81" i="7" s="1"/>
  <c r="G111" i="7" s="1"/>
  <c r="C83" i="7"/>
  <c r="B82" i="7"/>
  <c r="A82" i="7"/>
  <c r="D84" i="7"/>
  <c r="B81" i="7"/>
  <c r="H50" i="6"/>
  <c r="B84" i="7"/>
  <c r="J110" i="7" s="1"/>
  <c r="I82" i="7"/>
  <c r="K82" i="7"/>
  <c r="D82" i="7"/>
  <c r="H112" i="7" s="1"/>
  <c r="I195" i="8"/>
  <c r="G195" i="8"/>
  <c r="C195" i="8"/>
  <c r="I196" i="8"/>
  <c r="B200" i="8"/>
  <c r="K195" i="8"/>
  <c r="AB195" i="8"/>
  <c r="D195" i="8"/>
  <c r="X195" i="8"/>
  <c r="M195" i="8"/>
  <c r="AD195" i="8"/>
  <c r="N195" i="8"/>
  <c r="AG195" i="8"/>
  <c r="AP195" i="8"/>
  <c r="L196" i="8"/>
  <c r="AB196" i="8"/>
  <c r="AR196" i="8"/>
  <c r="J197" i="8"/>
  <c r="Z197" i="8"/>
  <c r="AP197" i="8"/>
  <c r="L198" i="8"/>
  <c r="AB198" i="8"/>
  <c r="AR198" i="8"/>
  <c r="D205" i="8"/>
  <c r="D209" i="8"/>
  <c r="D213" i="8"/>
  <c r="D217" i="8"/>
  <c r="D221" i="8"/>
  <c r="D225" i="8"/>
  <c r="D229" i="8"/>
  <c r="D233" i="8"/>
  <c r="D237" i="8"/>
  <c r="D241" i="8"/>
  <c r="B245" i="8"/>
  <c r="AM195" i="8"/>
  <c r="E196" i="8"/>
  <c r="Y196" i="8"/>
  <c r="AO196" i="8"/>
  <c r="K197" i="8"/>
  <c r="AA197" i="8"/>
  <c r="AQ197" i="8"/>
  <c r="M198" i="8"/>
  <c r="AC198" i="8"/>
  <c r="AS198" i="8"/>
  <c r="C206" i="8"/>
  <c r="C210" i="8"/>
  <c r="C214" i="8"/>
  <c r="C218" i="8"/>
  <c r="C222" i="8"/>
  <c r="C226" i="8"/>
  <c r="C230" i="8"/>
  <c r="C234" i="8"/>
  <c r="C238" i="8"/>
  <c r="C242" i="8"/>
  <c r="AF195" i="8"/>
  <c r="AV195" i="8"/>
  <c r="R196" i="8"/>
  <c r="AH196" i="8"/>
  <c r="AX196" i="8"/>
  <c r="P197" i="8"/>
  <c r="AF197" i="8"/>
  <c r="AV197" i="8"/>
  <c r="R198" i="8"/>
  <c r="AH198" i="8"/>
  <c r="D199" i="8"/>
  <c r="B203" i="8"/>
  <c r="B207" i="8"/>
  <c r="B211" i="8"/>
  <c r="B215" i="8"/>
  <c r="B219" i="8"/>
  <c r="B223" i="8"/>
  <c r="B227" i="8"/>
  <c r="B231" i="8"/>
  <c r="B235" i="8"/>
  <c r="B239" i="8"/>
  <c r="W196" i="8"/>
  <c r="AM196" i="8"/>
  <c r="C197" i="8"/>
  <c r="U197" i="8"/>
  <c r="AK197" i="8"/>
  <c r="K198" i="8"/>
  <c r="AA198" i="8"/>
  <c r="AQ198" i="8"/>
  <c r="E201" i="8"/>
  <c r="C205" i="8"/>
  <c r="C209" i="8"/>
  <c r="C213" i="8"/>
  <c r="C217" i="8"/>
  <c r="C221" i="8"/>
  <c r="C225" i="8"/>
  <c r="C229" i="8"/>
  <c r="C233" i="8"/>
  <c r="C237" i="8"/>
  <c r="C241" i="8"/>
  <c r="K46" i="7"/>
  <c r="B48" i="7"/>
  <c r="H114" i="7" s="1"/>
  <c r="D46" i="7"/>
  <c r="L110" i="7" s="1"/>
  <c r="D86" i="7"/>
  <c r="B65" i="7"/>
  <c r="J115" i="7" s="1"/>
  <c r="AL52" i="8"/>
  <c r="AM52" i="8" s="1"/>
  <c r="O82" i="7"/>
  <c r="K38" i="7" s="1"/>
  <c r="L38" i="7"/>
  <c r="C82" i="7"/>
  <c r="G112" i="7" s="1"/>
  <c r="O70" i="7"/>
  <c r="K36" i="7" s="1"/>
  <c r="L36" i="7"/>
  <c r="B58" i="8"/>
  <c r="B58" i="7"/>
  <c r="C59" i="7"/>
  <c r="A58" i="7"/>
  <c r="B57" i="7"/>
  <c r="D60" i="7"/>
  <c r="A57" i="7"/>
  <c r="B78" i="7"/>
  <c r="N118" i="7" s="1"/>
  <c r="I76" i="7"/>
  <c r="K76" i="7"/>
  <c r="D76" i="7"/>
  <c r="P116" i="7" s="1"/>
  <c r="B53" i="7"/>
  <c r="L117" i="7" s="1"/>
  <c r="H52" i="7"/>
  <c r="C54" i="7"/>
  <c r="A53" i="7"/>
  <c r="K117" i="7" s="1"/>
  <c r="D53" i="7"/>
  <c r="J52" i="7"/>
  <c r="C52" i="7"/>
  <c r="O114" i="7" s="1"/>
  <c r="A54" i="7"/>
  <c r="K118" i="7" s="1"/>
  <c r="D51" i="7"/>
  <c r="P113" i="7" s="1"/>
  <c r="A51" i="7"/>
  <c r="C51" i="7" s="1"/>
  <c r="O113" i="7" s="1"/>
  <c r="C53" i="7"/>
  <c r="A52" i="7"/>
  <c r="C196" i="8"/>
  <c r="H196" i="8"/>
  <c r="B199" i="8"/>
  <c r="B201" i="8"/>
  <c r="O195" i="8"/>
  <c r="AH195" i="8"/>
  <c r="L195" i="8"/>
  <c r="AC195" i="8"/>
  <c r="Q195" i="8"/>
  <c r="AO195" i="8"/>
  <c r="R195" i="8"/>
  <c r="AS195" i="8"/>
  <c r="AT195" i="8"/>
  <c r="P196" i="8"/>
  <c r="AF196" i="8"/>
  <c r="AV196" i="8"/>
  <c r="N197" i="8"/>
  <c r="AD197" i="8"/>
  <c r="AT197" i="8"/>
  <c r="P198" i="8"/>
  <c r="AF198" i="8"/>
  <c r="AV198" i="8"/>
  <c r="B206" i="8"/>
  <c r="B210" i="8"/>
  <c r="B214" i="8"/>
  <c r="B218" i="8"/>
  <c r="B222" i="8"/>
  <c r="B226" i="8"/>
  <c r="B230" i="8"/>
  <c r="B234" i="8"/>
  <c r="B238" i="8"/>
  <c r="B242" i="8"/>
  <c r="AA195" i="8"/>
  <c r="AQ195" i="8"/>
  <c r="M196" i="8"/>
  <c r="AC196" i="8"/>
  <c r="AS196" i="8"/>
  <c r="O197" i="8"/>
  <c r="AE197" i="8"/>
  <c r="AU197" i="8"/>
  <c r="Q198" i="8"/>
  <c r="AG198" i="8"/>
  <c r="E203" i="8"/>
  <c r="E207" i="8"/>
  <c r="E211" i="8"/>
  <c r="E215" i="8"/>
  <c r="E219" i="8"/>
  <c r="E223" i="8"/>
  <c r="E227" i="8"/>
  <c r="E231" i="8"/>
  <c r="E235" i="8"/>
  <c r="E239" i="8"/>
  <c r="C243" i="8"/>
  <c r="AJ195" i="8"/>
  <c r="AZ195" i="8"/>
  <c r="V196" i="8"/>
  <c r="AL196" i="8"/>
  <c r="B197" i="8"/>
  <c r="T197" i="8"/>
  <c r="AJ197" i="8"/>
  <c r="F198" i="8"/>
  <c r="V198" i="8"/>
  <c r="AL198" i="8"/>
  <c r="D200" i="8"/>
  <c r="D204" i="8"/>
  <c r="D208" i="8"/>
  <c r="D212" i="8"/>
  <c r="D216" i="8"/>
  <c r="D220" i="8"/>
  <c r="D224" i="8"/>
  <c r="D228" i="8"/>
  <c r="D232" i="8"/>
  <c r="D236" i="8"/>
  <c r="D240" i="8"/>
  <c r="AA196" i="8"/>
  <c r="AQ196" i="8"/>
  <c r="I197" i="8"/>
  <c r="Y197" i="8"/>
  <c r="AO197" i="8"/>
  <c r="O198" i="8"/>
  <c r="AE198" i="8"/>
  <c r="AU198" i="8"/>
  <c r="E202" i="8"/>
  <c r="E206" i="8"/>
  <c r="E210" i="8"/>
  <c r="E214" i="8"/>
  <c r="E218" i="8"/>
  <c r="E222" i="8"/>
  <c r="E226" i="8"/>
  <c r="E230" i="8"/>
  <c r="E234" i="8"/>
  <c r="E238" i="8"/>
  <c r="AQ53" i="8"/>
  <c r="J32" i="8"/>
  <c r="AI55" i="8"/>
  <c r="M32" i="8" s="1"/>
  <c r="AL55" i="8"/>
  <c r="AM55" i="8" s="1"/>
  <c r="AP57" i="8"/>
  <c r="D48" i="7"/>
  <c r="B46" i="7"/>
  <c r="H110" i="7" s="1"/>
  <c r="A46" i="7"/>
  <c r="B45" i="7"/>
  <c r="C47" i="7"/>
  <c r="A45" i="7"/>
  <c r="D75" i="7"/>
  <c r="P115" i="7" s="1"/>
  <c r="D77" i="7"/>
  <c r="A65" i="7"/>
  <c r="I115" i="7" s="1"/>
  <c r="D63" i="7"/>
  <c r="N111" i="7" s="1"/>
  <c r="D65" i="7"/>
  <c r="A59" i="7"/>
  <c r="E111" i="7" s="1"/>
  <c r="B83" i="7"/>
  <c r="J109" i="7" s="1"/>
  <c r="E36" i="8"/>
  <c r="C36" i="8"/>
  <c r="AQ56" i="8"/>
  <c r="P32" i="8"/>
  <c r="N21" i="6"/>
  <c r="O21" i="6"/>
  <c r="BF3" i="8"/>
  <c r="D34" i="8"/>
  <c r="X33" i="8"/>
  <c r="B60" i="7"/>
  <c r="F112" i="7" s="1"/>
  <c r="I58" i="7"/>
  <c r="L34" i="7" s="1"/>
  <c r="K58" i="7"/>
  <c r="D58" i="7"/>
  <c r="J108" i="7" s="1"/>
  <c r="A42" i="6"/>
  <c r="I48" i="6" s="1"/>
  <c r="A41" i="6"/>
  <c r="I47" i="6" s="1"/>
  <c r="J40" i="6"/>
  <c r="C40" i="6"/>
  <c r="E52" i="6" s="1"/>
  <c r="D39" i="6"/>
  <c r="F51" i="6" s="1"/>
  <c r="D41" i="6"/>
  <c r="F47" i="6" s="1"/>
  <c r="C42" i="6"/>
  <c r="E48" i="6" s="1"/>
  <c r="H40" i="6"/>
  <c r="B41" i="6"/>
  <c r="J47" i="6" s="1"/>
  <c r="A39" i="6"/>
  <c r="C39" i="6" s="1"/>
  <c r="E51" i="6" s="1"/>
  <c r="C41" i="6"/>
  <c r="E47" i="6" s="1"/>
  <c r="A40" i="6"/>
  <c r="B39" i="6"/>
  <c r="F195" i="8"/>
  <c r="F196" i="8"/>
  <c r="C200" i="8"/>
  <c r="C202" i="8"/>
  <c r="C199" i="8"/>
  <c r="S195" i="8"/>
  <c r="AW195" i="8"/>
  <c r="P195" i="8"/>
  <c r="AK195" i="8"/>
  <c r="U195" i="8"/>
  <c r="K196" i="8"/>
  <c r="V195" i="8"/>
  <c r="O196" i="8"/>
  <c r="AX195" i="8"/>
  <c r="T196" i="8"/>
  <c r="AJ196" i="8"/>
  <c r="AZ196" i="8"/>
  <c r="R197" i="8"/>
  <c r="AH197" i="8"/>
  <c r="B198" i="8"/>
  <c r="T198" i="8"/>
  <c r="AJ198" i="8"/>
  <c r="D203" i="8"/>
  <c r="D207" i="8"/>
  <c r="D211" i="8"/>
  <c r="D215" i="8"/>
  <c r="D219" i="8"/>
  <c r="D223" i="8"/>
  <c r="D227" i="8"/>
  <c r="D231" i="8"/>
  <c r="D235" i="8"/>
  <c r="D239" i="8"/>
  <c r="B243" i="8"/>
  <c r="AE195" i="8"/>
  <c r="AU195" i="8"/>
  <c r="Q196" i="8"/>
  <c r="AG196" i="8"/>
  <c r="AW196" i="8"/>
  <c r="S197" i="8"/>
  <c r="AI197" i="8"/>
  <c r="C198" i="8"/>
  <c r="U198" i="8"/>
  <c r="AK198" i="8"/>
  <c r="C204" i="8"/>
  <c r="C208" i="8"/>
  <c r="C212" i="8"/>
  <c r="C216" i="8"/>
  <c r="C220" i="8"/>
  <c r="C224" i="8"/>
  <c r="C228" i="8"/>
  <c r="C232" i="8"/>
  <c r="C236" i="8"/>
  <c r="C240" i="8"/>
  <c r="C244" i="8"/>
  <c r="AN195" i="8"/>
  <c r="J196" i="8"/>
  <c r="Z196" i="8"/>
  <c r="AP196" i="8"/>
  <c r="H197" i="8"/>
  <c r="X197" i="8"/>
  <c r="AN197" i="8"/>
  <c r="J198" i="8"/>
  <c r="Z198" i="8"/>
  <c r="AP198" i="8"/>
  <c r="D201" i="8"/>
  <c r="B205" i="8"/>
  <c r="B209" i="8"/>
  <c r="B213" i="8"/>
  <c r="B217" i="8"/>
  <c r="B221" i="8"/>
  <c r="B225" i="8"/>
  <c r="B229" i="8"/>
  <c r="B233" i="8"/>
  <c r="B237" i="8"/>
  <c r="B241" i="8"/>
  <c r="AE196" i="8"/>
  <c r="AU196" i="8"/>
  <c r="M197" i="8"/>
  <c r="AC197" i="8"/>
  <c r="AS197" i="8"/>
  <c r="S198" i="8"/>
  <c r="AI198" i="8"/>
  <c r="E199" i="8"/>
  <c r="C203" i="8"/>
  <c r="C207" i="8"/>
  <c r="C211" i="8"/>
  <c r="C215" i="8"/>
  <c r="C219" i="8"/>
  <c r="C223" i="8"/>
  <c r="C227" i="8"/>
  <c r="C231" i="8"/>
  <c r="C235" i="8"/>
  <c r="C239" i="8"/>
  <c r="C78" i="7"/>
  <c r="A78" i="7"/>
  <c r="M118" i="7" s="1"/>
  <c r="C66" i="7"/>
  <c r="AI52" i="8"/>
  <c r="G32" i="8" s="1"/>
  <c r="D57" i="7"/>
  <c r="J107" i="7" s="1"/>
  <c r="C60" i="7"/>
  <c r="D59" i="7"/>
  <c r="A84" i="7"/>
  <c r="I110" i="7" s="1"/>
  <c r="D83" i="7"/>
  <c r="B66" i="7"/>
  <c r="J116" i="7" s="1"/>
  <c r="I64" i="7"/>
  <c r="K64" i="7"/>
  <c r="D64" i="7"/>
  <c r="N112" i="7" s="1"/>
  <c r="C40" i="7"/>
  <c r="E86" i="7"/>
  <c r="X37" i="8"/>
  <c r="BF7" i="8"/>
  <c r="D38" i="8"/>
  <c r="A35" i="6"/>
  <c r="H51" i="6" s="1"/>
  <c r="C36" i="6"/>
  <c r="I52" i="6" s="1"/>
  <c r="D35" i="6"/>
  <c r="J51" i="6" s="1"/>
  <c r="H34" i="6"/>
  <c r="A36" i="6"/>
  <c r="H52" i="6" s="1"/>
  <c r="F63" i="6" s="1"/>
  <c r="B35" i="6"/>
  <c r="G51" i="6" s="1"/>
  <c r="J34" i="6"/>
  <c r="C34" i="6"/>
  <c r="I49" i="6" s="1"/>
  <c r="D33" i="6"/>
  <c r="J50" i="6" s="1"/>
  <c r="G196" i="8"/>
  <c r="B196" i="8"/>
  <c r="H195" i="8"/>
  <c r="C201" i="8"/>
  <c r="B195" i="8"/>
  <c r="B202" i="8"/>
  <c r="W195" i="8"/>
  <c r="S196" i="8"/>
  <c r="T195" i="8"/>
  <c r="E195" i="8"/>
  <c r="Y195" i="8"/>
  <c r="J195" i="8"/>
  <c r="Z195" i="8"/>
  <c r="AL195" i="8"/>
  <c r="D196" i="8"/>
  <c r="X196" i="8"/>
  <c r="AN196" i="8"/>
  <c r="F197" i="8"/>
  <c r="V197" i="8"/>
  <c r="AL197" i="8"/>
  <c r="H198" i="8"/>
  <c r="X198" i="8"/>
  <c r="AN198" i="8"/>
  <c r="B204" i="8"/>
  <c r="B208" i="8"/>
  <c r="B212" i="8"/>
  <c r="B216" i="8"/>
  <c r="B220" i="8"/>
  <c r="B224" i="8"/>
  <c r="B228" i="8"/>
  <c r="B232" i="8"/>
  <c r="B236" i="8"/>
  <c r="B240" i="8"/>
  <c r="B244" i="8"/>
  <c r="AI195" i="8"/>
  <c r="AY195" i="8"/>
  <c r="U196" i="8"/>
  <c r="AK196" i="8"/>
  <c r="G197" i="8"/>
  <c r="W197" i="8"/>
  <c r="AM197" i="8"/>
  <c r="I198" i="8"/>
  <c r="Y198" i="8"/>
  <c r="AO198" i="8"/>
  <c r="E205" i="8"/>
  <c r="E209" i="8"/>
  <c r="E213" i="8"/>
  <c r="E217" i="8"/>
  <c r="E221" i="8"/>
  <c r="E225" i="8"/>
  <c r="E229" i="8"/>
  <c r="E233" i="8"/>
  <c r="E237" i="8"/>
  <c r="E241" i="8"/>
  <c r="C245" i="8"/>
  <c r="AR195" i="8"/>
  <c r="N196" i="8"/>
  <c r="AD196" i="8"/>
  <c r="AT196" i="8"/>
  <c r="L197" i="8"/>
  <c r="AB197" i="8"/>
  <c r="AR197" i="8"/>
  <c r="N198" i="8"/>
  <c r="AD198" i="8"/>
  <c r="AT198" i="8"/>
  <c r="D202" i="8"/>
  <c r="D206" i="8"/>
  <c r="D210" i="8"/>
  <c r="D214" i="8"/>
  <c r="D218" i="8"/>
  <c r="D222" i="8"/>
  <c r="D226" i="8"/>
  <c r="D230" i="8"/>
  <c r="D234" i="8"/>
  <c r="D238" i="8"/>
  <c r="Q245" i="8"/>
  <c r="AI196" i="8"/>
  <c r="AY196" i="8"/>
  <c r="Q197" i="8"/>
  <c r="AG197" i="8"/>
  <c r="G198" i="8"/>
  <c r="W198" i="8"/>
  <c r="AM198" i="8"/>
  <c r="E200" i="8"/>
  <c r="E204" i="8"/>
  <c r="E208" i="8"/>
  <c r="E212" i="8"/>
  <c r="E216" i="8"/>
  <c r="E220" i="8"/>
  <c r="E224" i="8"/>
  <c r="E228" i="8"/>
  <c r="E232" i="8"/>
  <c r="E236" i="8"/>
  <c r="B47" i="7"/>
  <c r="H113" i="7" s="1"/>
  <c r="C46" i="7"/>
  <c r="K110" i="7" s="1"/>
  <c r="D45" i="7"/>
  <c r="L109" i="7" s="1"/>
  <c r="C48" i="7"/>
  <c r="A47" i="7"/>
  <c r="G113" i="7" s="1"/>
  <c r="J46" i="7"/>
  <c r="O46" i="7" s="1"/>
  <c r="K32" i="7" s="1"/>
  <c r="D47" i="7"/>
  <c r="A48" i="7"/>
  <c r="G114" i="7" s="1"/>
  <c r="B86" i="7"/>
  <c r="L37" i="7"/>
  <c r="O76" i="7"/>
  <c r="K37" i="7" s="1"/>
  <c r="C76" i="7"/>
  <c r="O116" i="7" s="1"/>
  <c r="L35" i="7"/>
  <c r="O64" i="7"/>
  <c r="K35" i="7" s="1"/>
  <c r="C64" i="7"/>
  <c r="M112" i="7" s="1"/>
  <c r="C58" i="7"/>
  <c r="I108" i="7" s="1"/>
  <c r="B59" i="7"/>
  <c r="F111" i="7" s="1"/>
  <c r="A83" i="7"/>
  <c r="I109" i="7" s="1"/>
  <c r="D81" i="7"/>
  <c r="H111" i="7" s="1"/>
  <c r="C84" i="7"/>
  <c r="O34" i="7" l="1"/>
  <c r="N34" i="7"/>
  <c r="O35" i="7"/>
  <c r="N35" i="7"/>
  <c r="D89" i="7"/>
  <c r="A90" i="7"/>
  <c r="E114" i="7" s="1"/>
  <c r="H88" i="7"/>
  <c r="B89" i="7"/>
  <c r="F113" i="7" s="1"/>
  <c r="C90" i="7"/>
  <c r="A89" i="7"/>
  <c r="E113" i="7" s="1"/>
  <c r="J88" i="7"/>
  <c r="C88" i="7"/>
  <c r="K108" i="7" s="1"/>
  <c r="D87" i="7"/>
  <c r="L107" i="7" s="1"/>
  <c r="O34" i="6"/>
  <c r="K22" i="6"/>
  <c r="L22" i="6" s="1"/>
  <c r="B39" i="8"/>
  <c r="C41" i="7"/>
  <c r="E92" i="7"/>
  <c r="D92" i="7"/>
  <c r="B92" i="7"/>
  <c r="L32" i="7"/>
  <c r="BG5" i="8"/>
  <c r="Y35" i="8"/>
  <c r="H109" i="7"/>
  <c r="Q32" i="8"/>
  <c r="AQ57" i="8"/>
  <c r="C57" i="7"/>
  <c r="I107" i="7" s="1"/>
  <c r="O58" i="7"/>
  <c r="K34" i="7" s="1"/>
  <c r="B90" i="7"/>
  <c r="F114" i="7" s="1"/>
  <c r="I88" i="7"/>
  <c r="K88" i="7"/>
  <c r="D88" i="7"/>
  <c r="L108" i="7" s="1"/>
  <c r="E65" i="8"/>
  <c r="O64" i="8"/>
  <c r="B64" i="8"/>
  <c r="H203" i="8" s="1"/>
  <c r="D62" i="8"/>
  <c r="J201" i="8" s="1"/>
  <c r="O61" i="8"/>
  <c r="D61" i="8"/>
  <c r="J200" i="8" s="1"/>
  <c r="D65" i="8"/>
  <c r="L64" i="8"/>
  <c r="A64" i="8"/>
  <c r="G203" i="8" s="1"/>
  <c r="B62" i="8"/>
  <c r="H201" i="8" s="1"/>
  <c r="L61" i="8"/>
  <c r="B61" i="8"/>
  <c r="H200" i="8" s="1"/>
  <c r="B65" i="8"/>
  <c r="H204" i="8" s="1"/>
  <c r="E64" i="8"/>
  <c r="E62" i="8"/>
  <c r="K201" i="8" s="1"/>
  <c r="E61" i="8"/>
  <c r="K200" i="8" s="1"/>
  <c r="D64" i="8"/>
  <c r="A61" i="8"/>
  <c r="G200" i="8" s="1"/>
  <c r="A62" i="8"/>
  <c r="G201" i="8" s="1"/>
  <c r="A65" i="8"/>
  <c r="G204" i="8" s="1"/>
  <c r="O40" i="6"/>
  <c r="K23" i="6"/>
  <c r="L23" i="6" s="1"/>
  <c r="C37" i="8"/>
  <c r="G110" i="7"/>
  <c r="L33" i="7"/>
  <c r="O52" i="7"/>
  <c r="K33" i="7" s="1"/>
  <c r="N63" i="8"/>
  <c r="C63" i="8"/>
  <c r="I202" i="8" s="1"/>
  <c r="Q66" i="8"/>
  <c r="F66" i="8"/>
  <c r="V65" i="8"/>
  <c r="W64" i="8"/>
  <c r="S62" i="8"/>
  <c r="T61" i="8"/>
  <c r="B35" i="8"/>
  <c r="B67" i="8"/>
  <c r="F34" i="8"/>
  <c r="C45" i="7"/>
  <c r="K109" i="7" s="1"/>
  <c r="G109" i="7"/>
  <c r="T62" i="8"/>
  <c r="S61" i="8"/>
  <c r="W65" i="8"/>
  <c r="V64" i="8"/>
  <c r="O38" i="7"/>
  <c r="N38" i="7"/>
  <c r="M65" i="8"/>
  <c r="P62" i="8"/>
  <c r="M62" i="8"/>
  <c r="P65" i="8"/>
  <c r="N66" i="8"/>
  <c r="C66" i="8"/>
  <c r="I205" i="8" s="1"/>
  <c r="Q63" i="8"/>
  <c r="F63" i="8"/>
  <c r="L202" i="8" s="1"/>
  <c r="F133" i="7"/>
  <c r="O37" i="7"/>
  <c r="N37" i="7"/>
  <c r="B88" i="7"/>
  <c r="F108" i="7" s="1"/>
  <c r="C89" i="7"/>
  <c r="A88" i="7"/>
  <c r="B87" i="7"/>
  <c r="F107" i="7" s="1"/>
  <c r="D90" i="7"/>
  <c r="A87" i="7"/>
  <c r="C87" i="7" s="1"/>
  <c r="K107" i="7" s="1"/>
  <c r="I51" i="6"/>
  <c r="H55" i="6" s="1"/>
  <c r="E108" i="7"/>
  <c r="N36" i="7"/>
  <c r="O36" i="7"/>
  <c r="H56" i="6"/>
  <c r="F61" i="6"/>
  <c r="M66" i="8"/>
  <c r="A66" i="8"/>
  <c r="G205" i="8" s="1"/>
  <c r="C65" i="8"/>
  <c r="I204" i="8" s="1"/>
  <c r="M63" i="8"/>
  <c r="F62" i="8"/>
  <c r="L201" i="8" s="1"/>
  <c r="F61" i="8"/>
  <c r="L200" i="8" s="1"/>
  <c r="E66" i="8"/>
  <c r="Q65" i="8"/>
  <c r="F64" i="8"/>
  <c r="E63" i="8"/>
  <c r="K202" i="8" s="1"/>
  <c r="A63" i="8"/>
  <c r="G202" i="8" s="1"/>
  <c r="D66" i="8"/>
  <c r="N65" i="8"/>
  <c r="C64" i="8"/>
  <c r="I203" i="8" s="1"/>
  <c r="D63" i="8"/>
  <c r="J202" i="8" s="1"/>
  <c r="Q62" i="8"/>
  <c r="C62" i="8"/>
  <c r="I201" i="8" s="1"/>
  <c r="C61" i="8"/>
  <c r="I200" i="8" s="1"/>
  <c r="B66" i="8"/>
  <c r="H205" i="8" s="1"/>
  <c r="N62" i="8"/>
  <c r="F65" i="8"/>
  <c r="P63" i="8"/>
  <c r="B63" i="8"/>
  <c r="H202" i="8" s="1"/>
  <c r="P66" i="8"/>
  <c r="AE66" i="8" l="1"/>
  <c r="AD66" i="8"/>
  <c r="AC66" i="8"/>
  <c r="AB66" i="8"/>
  <c r="W74" i="8"/>
  <c r="V73" i="8"/>
  <c r="S70" i="8"/>
  <c r="T71" i="8"/>
  <c r="O33" i="7"/>
  <c r="N33" i="7"/>
  <c r="O23" i="6"/>
  <c r="N23" i="6"/>
  <c r="E251" i="8"/>
  <c r="AE61" i="8"/>
  <c r="AA61" i="8"/>
  <c r="AD61" i="8"/>
  <c r="Z61" i="8"/>
  <c r="AC61" i="8"/>
  <c r="AB61" i="8"/>
  <c r="E107" i="7"/>
  <c r="C96" i="7"/>
  <c r="K114" i="7" s="1"/>
  <c r="A95" i="7"/>
  <c r="M113" i="7" s="1"/>
  <c r="A96" i="7"/>
  <c r="M114" i="7" s="1"/>
  <c r="B95" i="7"/>
  <c r="N113" i="7" s="1"/>
  <c r="J94" i="7"/>
  <c r="C94" i="7"/>
  <c r="K116" i="7" s="1"/>
  <c r="D93" i="7"/>
  <c r="L115" i="7" s="1"/>
  <c r="D95" i="7"/>
  <c r="L113" i="7" s="1"/>
  <c r="H94" i="7"/>
  <c r="H57" i="6"/>
  <c r="BF4" i="8"/>
  <c r="D35" i="8"/>
  <c r="X34" i="8"/>
  <c r="AA62" i="8"/>
  <c r="AA65" i="8"/>
  <c r="AA63" i="8"/>
  <c r="AA66" i="8"/>
  <c r="E250" i="8"/>
  <c r="N32" i="7"/>
  <c r="O32" i="7"/>
  <c r="I94" i="7"/>
  <c r="B96" i="7"/>
  <c r="N114" i="7" s="1"/>
  <c r="K94" i="7"/>
  <c r="D94" i="7"/>
  <c r="L116" i="7" s="1"/>
  <c r="AE63" i="8"/>
  <c r="AD63" i="8"/>
  <c r="AC63" i="8"/>
  <c r="AB63" i="8"/>
  <c r="AE62" i="8"/>
  <c r="AD62" i="8"/>
  <c r="AC62" i="8"/>
  <c r="AB62" i="8"/>
  <c r="Z62" i="8"/>
  <c r="Z65" i="8"/>
  <c r="Z63" i="8"/>
  <c r="Z66" i="8"/>
  <c r="E252" i="8"/>
  <c r="F62" i="6"/>
  <c r="Y36" i="8"/>
  <c r="E37" i="8"/>
  <c r="BG6" i="8"/>
  <c r="A93" i="7"/>
  <c r="B94" i="7"/>
  <c r="N116" i="7" s="1"/>
  <c r="D96" i="7"/>
  <c r="L114" i="7" s="1"/>
  <c r="A94" i="7"/>
  <c r="M116" i="7" s="1"/>
  <c r="C95" i="7"/>
  <c r="K113" i="7" s="1"/>
  <c r="F124" i="7" s="1"/>
  <c r="B93" i="7"/>
  <c r="N115" i="7" s="1"/>
  <c r="BF8" i="8"/>
  <c r="D39" i="8"/>
  <c r="X38" i="8"/>
  <c r="AE65" i="8"/>
  <c r="AD65" i="8"/>
  <c r="AC65" i="8"/>
  <c r="AB65" i="8"/>
  <c r="J68" i="8"/>
  <c r="H67" i="8"/>
  <c r="H68" i="8"/>
  <c r="F68" i="8"/>
  <c r="J67" i="8"/>
  <c r="B68" i="8"/>
  <c r="AC64" i="8"/>
  <c r="AB64" i="8"/>
  <c r="AE64" i="8"/>
  <c r="AA64" i="8"/>
  <c r="Z64" i="8"/>
  <c r="AD64" i="8"/>
  <c r="E98" i="7"/>
  <c r="D98" i="7"/>
  <c r="B98" i="7"/>
  <c r="N22" i="6"/>
  <c r="O22" i="6"/>
  <c r="O88" i="7"/>
  <c r="K39" i="7" s="1"/>
  <c r="L39" i="7"/>
  <c r="D102" i="7" l="1"/>
  <c r="P118" i="7" s="1"/>
  <c r="A100" i="7"/>
  <c r="I112" i="7" s="1"/>
  <c r="B99" i="7"/>
  <c r="J111" i="7" s="1"/>
  <c r="A99" i="7"/>
  <c r="C101" i="7"/>
  <c r="O117" i="7" s="1"/>
  <c r="B100" i="7"/>
  <c r="J112" i="7" s="1"/>
  <c r="B74" i="8"/>
  <c r="K207" i="8" s="1"/>
  <c r="E73" i="8"/>
  <c r="E71" i="8"/>
  <c r="N204" i="8" s="1"/>
  <c r="E70" i="8"/>
  <c r="N203" i="8" s="1"/>
  <c r="A74" i="8"/>
  <c r="J207" i="8" s="1"/>
  <c r="D73" i="8"/>
  <c r="A71" i="8"/>
  <c r="J204" i="8" s="1"/>
  <c r="A70" i="8"/>
  <c r="J203" i="8" s="1"/>
  <c r="L73" i="8"/>
  <c r="B71" i="8"/>
  <c r="K204" i="8" s="1"/>
  <c r="B70" i="8"/>
  <c r="K203" i="8" s="1"/>
  <c r="E74" i="8"/>
  <c r="B73" i="8"/>
  <c r="K206" i="8" s="1"/>
  <c r="O70" i="8"/>
  <c r="O73" i="8"/>
  <c r="D70" i="8"/>
  <c r="M203" i="8" s="1"/>
  <c r="A73" i="8"/>
  <c r="J206" i="8" s="1"/>
  <c r="D71" i="8"/>
  <c r="M204" i="8" s="1"/>
  <c r="D74" i="8"/>
  <c r="L70" i="8"/>
  <c r="AL63" i="8"/>
  <c r="AM63" i="8" s="1"/>
  <c r="AI63" i="8"/>
  <c r="I33" i="8" s="1"/>
  <c r="F127" i="7"/>
  <c r="D75" i="8"/>
  <c r="N74" i="8"/>
  <c r="C73" i="8"/>
  <c r="L206" i="8" s="1"/>
  <c r="D72" i="8"/>
  <c r="M205" i="8" s="1"/>
  <c r="Q71" i="8"/>
  <c r="C71" i="8"/>
  <c r="L204" i="8" s="1"/>
  <c r="C70" i="8"/>
  <c r="L203" i="8" s="1"/>
  <c r="P75" i="8"/>
  <c r="B75" i="8"/>
  <c r="K208" i="8" s="1"/>
  <c r="F74" i="8"/>
  <c r="P72" i="8"/>
  <c r="B72" i="8"/>
  <c r="K205" i="8" s="1"/>
  <c r="N71" i="8"/>
  <c r="E75" i="8"/>
  <c r="F73" i="8"/>
  <c r="A72" i="8"/>
  <c r="J205" i="8" s="1"/>
  <c r="A75" i="8"/>
  <c r="J208" i="8" s="1"/>
  <c r="M72" i="8"/>
  <c r="F71" i="8"/>
  <c r="O204" i="8" s="1"/>
  <c r="M75" i="8"/>
  <c r="Q74" i="8"/>
  <c r="C74" i="8"/>
  <c r="L207" i="8" s="1"/>
  <c r="F70" i="8"/>
  <c r="O203" i="8" s="1"/>
  <c r="E72" i="8"/>
  <c r="N205" i="8" s="1"/>
  <c r="Q72" i="8"/>
  <c r="F72" i="8"/>
  <c r="O205" i="8" s="1"/>
  <c r="N75" i="8"/>
  <c r="C75" i="8"/>
  <c r="L208" i="8" s="1"/>
  <c r="AI65" i="8"/>
  <c r="N33" i="8" s="1"/>
  <c r="AL65" i="8"/>
  <c r="AM65" i="8" s="1"/>
  <c r="AP65" i="8"/>
  <c r="L40" i="7"/>
  <c r="O94" i="7"/>
  <c r="K40" i="7" s="1"/>
  <c r="F125" i="7"/>
  <c r="K100" i="7"/>
  <c r="D100" i="7"/>
  <c r="P112" i="7" s="1"/>
  <c r="B102" i="7"/>
  <c r="J118" i="7" s="1"/>
  <c r="I100" i="7"/>
  <c r="C93" i="7"/>
  <c r="K115" i="7" s="1"/>
  <c r="M115" i="7"/>
  <c r="N39" i="7"/>
  <c r="O39" i="7"/>
  <c r="B101" i="7"/>
  <c r="J117" i="7" s="1"/>
  <c r="H100" i="7"/>
  <c r="C102" i="7"/>
  <c r="O118" i="7" s="1"/>
  <c r="A101" i="7"/>
  <c r="I117" i="7" s="1"/>
  <c r="F128" i="7" s="1"/>
  <c r="D101" i="7"/>
  <c r="P117" i="7" s="1"/>
  <c r="J100" i="7"/>
  <c r="C100" i="7"/>
  <c r="O112" i="7" s="1"/>
  <c r="A102" i="7"/>
  <c r="I118" i="7" s="1"/>
  <c r="D99" i="7"/>
  <c r="P111" i="7" s="1"/>
  <c r="AI64" i="8"/>
  <c r="M33" i="8" s="1"/>
  <c r="AP66" i="8"/>
  <c r="AL64" i="8"/>
  <c r="AM64" i="8" s="1"/>
  <c r="T70" i="8"/>
  <c r="V74" i="8"/>
  <c r="S71" i="8"/>
  <c r="Z72" i="8" s="1"/>
  <c r="W73" i="8"/>
  <c r="Q75" i="8"/>
  <c r="F75" i="8"/>
  <c r="N72" i="8"/>
  <c r="C72" i="8"/>
  <c r="L205" i="8" s="1"/>
  <c r="B40" i="8"/>
  <c r="C38" i="8"/>
  <c r="F37" i="8"/>
  <c r="AI62" i="8"/>
  <c r="H33" i="8" s="1"/>
  <c r="AL62" i="8"/>
  <c r="AM62" i="8" s="1"/>
  <c r="AP62" i="8"/>
  <c r="B36" i="8"/>
  <c r="F35" i="8"/>
  <c r="M71" i="8"/>
  <c r="P74" i="8"/>
  <c r="M74" i="8"/>
  <c r="P71" i="8"/>
  <c r="AL66" i="8"/>
  <c r="AM66" i="8" s="1"/>
  <c r="AI66" i="8"/>
  <c r="O33" i="8" s="1"/>
  <c r="AL61" i="8"/>
  <c r="AM61" i="8" s="1"/>
  <c r="AI61" i="8"/>
  <c r="G33" i="8" s="1"/>
  <c r="AP63" i="8"/>
  <c r="AP61" i="8"/>
  <c r="AQ61" i="8" s="1"/>
  <c r="AC74" i="8" l="1"/>
  <c r="AB74" i="8"/>
  <c r="AE74" i="8"/>
  <c r="AD74" i="8"/>
  <c r="F77" i="8"/>
  <c r="J76" i="8"/>
  <c r="H77" i="8"/>
  <c r="H76" i="8"/>
  <c r="J77" i="8"/>
  <c r="B77" i="8"/>
  <c r="X39" i="8"/>
  <c r="BF9" i="8"/>
  <c r="D40" i="8"/>
  <c r="AQ66" i="8"/>
  <c r="Q33" i="8"/>
  <c r="Z74" i="8"/>
  <c r="AC72" i="8"/>
  <c r="AB72" i="8"/>
  <c r="AE72" i="8"/>
  <c r="AD72" i="8"/>
  <c r="C99" i="7"/>
  <c r="O111" i="7" s="1"/>
  <c r="I111" i="7"/>
  <c r="BF5" i="8"/>
  <c r="X35" i="8"/>
  <c r="F36" i="8"/>
  <c r="B85" i="8" s="1"/>
  <c r="O100" i="7"/>
  <c r="K41" i="7" s="1"/>
  <c r="L41" i="7"/>
  <c r="Z71" i="8"/>
  <c r="J124" i="7"/>
  <c r="J125" i="7"/>
  <c r="AE73" i="8"/>
  <c r="AA73" i="8"/>
  <c r="AD73" i="8"/>
  <c r="Z73" i="8"/>
  <c r="AB73" i="8"/>
  <c r="AC73" i="8"/>
  <c r="AQ63" i="8"/>
  <c r="K33" i="8"/>
  <c r="AC71" i="8"/>
  <c r="AB71" i="8"/>
  <c r="AD71" i="8"/>
  <c r="AE71" i="8"/>
  <c r="AQ62" i="8"/>
  <c r="J33" i="8"/>
  <c r="E38" i="8"/>
  <c r="Y37" i="8"/>
  <c r="BG7" i="8"/>
  <c r="AA75" i="8"/>
  <c r="AA71" i="8"/>
  <c r="AA74" i="8"/>
  <c r="AA72" i="8"/>
  <c r="AL72" i="8" s="1"/>
  <c r="AM72" i="8" s="1"/>
  <c r="F126" i="7"/>
  <c r="Z75" i="8"/>
  <c r="O40" i="7"/>
  <c r="N40" i="7"/>
  <c r="AC75" i="8"/>
  <c r="AB75" i="8"/>
  <c r="AD75" i="8"/>
  <c r="AE75" i="8"/>
  <c r="E255" i="8"/>
  <c r="J127" i="7"/>
  <c r="AC70" i="8"/>
  <c r="AB70" i="8"/>
  <c r="AD70" i="8"/>
  <c r="AA70" i="8"/>
  <c r="AE70" i="8"/>
  <c r="Z70" i="8"/>
  <c r="E253" i="8"/>
  <c r="F123" i="7"/>
  <c r="J94" i="8"/>
  <c r="J95" i="8"/>
  <c r="H94" i="8"/>
  <c r="H95" i="8"/>
  <c r="F95" i="8"/>
  <c r="B94" i="8"/>
  <c r="B76" i="8"/>
  <c r="B95" i="8"/>
  <c r="F129" i="7"/>
  <c r="J126" i="7"/>
  <c r="AQ65" i="8"/>
  <c r="P33" i="8"/>
  <c r="E254" i="8"/>
  <c r="T89" i="8" l="1"/>
  <c r="S88" i="8"/>
  <c r="V91" i="8"/>
  <c r="W92" i="8"/>
  <c r="V100" i="8"/>
  <c r="T98" i="8"/>
  <c r="W101" i="8"/>
  <c r="S97" i="8"/>
  <c r="M98" i="8"/>
  <c r="P98" i="8"/>
  <c r="P101" i="8"/>
  <c r="M101" i="8"/>
  <c r="AI71" i="8"/>
  <c r="H34" i="8" s="1"/>
  <c r="AL71" i="8"/>
  <c r="AM71" i="8" s="1"/>
  <c r="AP71" i="8"/>
  <c r="B41" i="8"/>
  <c r="V83" i="8"/>
  <c r="W82" i="8"/>
  <c r="S80" i="8"/>
  <c r="T79" i="8"/>
  <c r="E84" i="8"/>
  <c r="Q83" i="8"/>
  <c r="P81" i="8"/>
  <c r="B81" i="8"/>
  <c r="N208" i="8" s="1"/>
  <c r="N80" i="8"/>
  <c r="F79" i="8"/>
  <c r="R206" i="8" s="1"/>
  <c r="D84" i="8"/>
  <c r="N83" i="8"/>
  <c r="F82" i="8"/>
  <c r="M81" i="8"/>
  <c r="F80" i="8"/>
  <c r="A84" i="8"/>
  <c r="M211" i="8" s="1"/>
  <c r="Q80" i="8"/>
  <c r="P84" i="8"/>
  <c r="F83" i="8"/>
  <c r="E81" i="8"/>
  <c r="Q208" i="8" s="1"/>
  <c r="C80" i="8"/>
  <c r="O207" i="8" s="1"/>
  <c r="C82" i="8"/>
  <c r="O209" i="8" s="1"/>
  <c r="C79" i="8"/>
  <c r="O206" i="8" s="1"/>
  <c r="M84" i="8"/>
  <c r="D81" i="8"/>
  <c r="P208" i="8" s="1"/>
  <c r="B84" i="8"/>
  <c r="A81" i="8"/>
  <c r="M208" i="8" s="1"/>
  <c r="C83" i="8"/>
  <c r="O210" i="8" s="1"/>
  <c r="AL70" i="8"/>
  <c r="AM70" i="8" s="1"/>
  <c r="AI70" i="8"/>
  <c r="G34" i="8" s="1"/>
  <c r="AP72" i="8"/>
  <c r="AP70" i="8"/>
  <c r="AQ70" i="8" s="1"/>
  <c r="N41" i="7"/>
  <c r="O41" i="7"/>
  <c r="AI74" i="8"/>
  <c r="N34" i="8" s="1"/>
  <c r="AP74" i="8"/>
  <c r="AL74" i="8"/>
  <c r="AM74" i="8" s="1"/>
  <c r="M80" i="8"/>
  <c r="P83" i="8"/>
  <c r="M83" i="8"/>
  <c r="P80" i="8"/>
  <c r="E83" i="8"/>
  <c r="A83" i="8"/>
  <c r="M210" i="8" s="1"/>
  <c r="D82" i="8"/>
  <c r="E80" i="8"/>
  <c r="Q207" i="8" s="1"/>
  <c r="A80" i="8"/>
  <c r="M207" i="8" s="1"/>
  <c r="A79" i="8"/>
  <c r="M206" i="8" s="1"/>
  <c r="D83" i="8"/>
  <c r="O82" i="8"/>
  <c r="B82" i="8"/>
  <c r="N209" i="8" s="1"/>
  <c r="D80" i="8"/>
  <c r="P207" i="8" s="1"/>
  <c r="O79" i="8"/>
  <c r="D79" i="8"/>
  <c r="P206" i="8" s="1"/>
  <c r="E82" i="8"/>
  <c r="B83" i="8"/>
  <c r="N210" i="8" s="1"/>
  <c r="L79" i="8"/>
  <c r="B80" i="8"/>
  <c r="N207" i="8" s="1"/>
  <c r="E79" i="8"/>
  <c r="Q206" i="8" s="1"/>
  <c r="L82" i="8"/>
  <c r="B79" i="8"/>
  <c r="N206" i="8" s="1"/>
  <c r="A82" i="8"/>
  <c r="M209" i="8" s="1"/>
  <c r="J123" i="7"/>
  <c r="J129" i="7"/>
  <c r="J128" i="7"/>
  <c r="J122" i="7"/>
  <c r="C81" i="8"/>
  <c r="O208" i="8" s="1"/>
  <c r="Q84" i="8"/>
  <c r="N81" i="8"/>
  <c r="F84" i="8"/>
  <c r="AI72" i="8"/>
  <c r="I34" i="8" s="1"/>
  <c r="T97" i="8"/>
  <c r="V101" i="8"/>
  <c r="S98" i="8"/>
  <c r="W100" i="8"/>
  <c r="A101" i="8"/>
  <c r="S216" i="8" s="1"/>
  <c r="D100" i="8"/>
  <c r="B97" i="8"/>
  <c r="A98" i="8"/>
  <c r="E98" i="8"/>
  <c r="W213" i="8" s="1"/>
  <c r="E101" i="8"/>
  <c r="O100" i="8"/>
  <c r="B100" i="8"/>
  <c r="T215" i="8" s="1"/>
  <c r="B101" i="8"/>
  <c r="T216" i="8" s="1"/>
  <c r="A97" i="8"/>
  <c r="D97" i="8"/>
  <c r="V212" i="8" s="1"/>
  <c r="O97" i="8"/>
  <c r="L100" i="8"/>
  <c r="E97" i="8"/>
  <c r="W212" i="8" s="1"/>
  <c r="B98" i="8"/>
  <c r="E100" i="8"/>
  <c r="D98" i="8"/>
  <c r="V213" i="8" s="1"/>
  <c r="D101" i="8"/>
  <c r="A100" i="8"/>
  <c r="S215" i="8" s="1"/>
  <c r="L97" i="8"/>
  <c r="P102" i="8"/>
  <c r="B102" i="8"/>
  <c r="T217" i="8" s="1"/>
  <c r="F101" i="8"/>
  <c r="P99" i="8"/>
  <c r="B99" i="8"/>
  <c r="Q98" i="8"/>
  <c r="M102" i="8"/>
  <c r="A102" i="8"/>
  <c r="S217" i="8" s="1"/>
  <c r="C101" i="8"/>
  <c r="U216" i="8" s="1"/>
  <c r="M99" i="8"/>
  <c r="F97" i="8"/>
  <c r="X212" i="8" s="1"/>
  <c r="F98" i="8"/>
  <c r="X213" i="8" s="1"/>
  <c r="N101" i="8"/>
  <c r="D99" i="8"/>
  <c r="V214" i="8" s="1"/>
  <c r="C98" i="8"/>
  <c r="E102" i="8"/>
  <c r="F100" i="8"/>
  <c r="A99" i="8"/>
  <c r="D102" i="8"/>
  <c r="C100" i="8"/>
  <c r="U215" i="8" s="1"/>
  <c r="C97" i="8"/>
  <c r="N98" i="8"/>
  <c r="Q101" i="8"/>
  <c r="E99" i="8"/>
  <c r="W214" i="8" s="1"/>
  <c r="S79" i="8"/>
  <c r="W83" i="8"/>
  <c r="V82" i="8"/>
  <c r="T80" i="8"/>
  <c r="C102" i="8"/>
  <c r="U217" i="8" s="1"/>
  <c r="N102" i="8"/>
  <c r="Q99" i="8"/>
  <c r="F99" i="8"/>
  <c r="X214" i="8" s="1"/>
  <c r="F102" i="8"/>
  <c r="N99" i="8"/>
  <c r="Q102" i="8"/>
  <c r="C99" i="8"/>
  <c r="AL75" i="8"/>
  <c r="AM75" i="8" s="1"/>
  <c r="AI75" i="8"/>
  <c r="O34" i="8" s="1"/>
  <c r="C39" i="8"/>
  <c r="F38" i="8"/>
  <c r="AI73" i="8"/>
  <c r="M34" i="8" s="1"/>
  <c r="AL73" i="8"/>
  <c r="AM73" i="8" s="1"/>
  <c r="AP75" i="8"/>
  <c r="J86" i="8"/>
  <c r="H85" i="8"/>
  <c r="H86" i="8"/>
  <c r="F86" i="8"/>
  <c r="J85" i="8"/>
  <c r="B86" i="8"/>
  <c r="J132" i="7"/>
  <c r="F122" i="7"/>
  <c r="F134" i="7"/>
  <c r="D22" i="7"/>
  <c r="E22" i="7" s="1"/>
  <c r="D20" i="7"/>
  <c r="E20" i="7" s="1"/>
  <c r="D18" i="7"/>
  <c r="E18" i="7" s="1"/>
  <c r="D16" i="7"/>
  <c r="E16" i="7" s="1"/>
  <c r="D21" i="7"/>
  <c r="E21" i="7" s="1"/>
  <c r="D19" i="7"/>
  <c r="E19" i="7" s="1"/>
  <c r="D17" i="7"/>
  <c r="E17" i="7" s="1"/>
  <c r="D15" i="7"/>
  <c r="E15" i="7" s="1"/>
  <c r="Q81" i="8"/>
  <c r="N84" i="8"/>
  <c r="F81" i="8"/>
  <c r="R208" i="8" s="1"/>
  <c r="C84" i="8"/>
  <c r="O211" i="8" s="1"/>
  <c r="P92" i="8" l="1"/>
  <c r="M89" i="8"/>
  <c r="M92" i="8"/>
  <c r="P89" i="8"/>
  <c r="H104" i="8"/>
  <c r="J103" i="8"/>
  <c r="H103" i="8"/>
  <c r="J104" i="8"/>
  <c r="F104" i="8"/>
  <c r="B103" i="8"/>
  <c r="B88" i="8"/>
  <c r="A89" i="8"/>
  <c r="D89" i="8"/>
  <c r="S210" i="8" s="1"/>
  <c r="A91" i="8"/>
  <c r="P212" i="8" s="1"/>
  <c r="L91" i="8"/>
  <c r="E92" i="8"/>
  <c r="T213" i="8" s="1"/>
  <c r="E89" i="8"/>
  <c r="T210" i="8" s="1"/>
  <c r="B91" i="8"/>
  <c r="Q212" i="8" s="1"/>
  <c r="O91" i="8"/>
  <c r="O88" i="8"/>
  <c r="B92" i="8"/>
  <c r="Q213" i="8" s="1"/>
  <c r="D88" i="8"/>
  <c r="S209" i="8" s="1"/>
  <c r="B89" i="8"/>
  <c r="D91" i="8"/>
  <c r="S212" i="8" s="1"/>
  <c r="D92" i="8"/>
  <c r="S213" i="8" s="1"/>
  <c r="A88" i="8"/>
  <c r="E88" i="8"/>
  <c r="T209" i="8" s="1"/>
  <c r="E91" i="8"/>
  <c r="T212" i="8" s="1"/>
  <c r="L88" i="8"/>
  <c r="A92" i="8"/>
  <c r="P213" i="8" s="1"/>
  <c r="AQ75" i="8"/>
  <c r="Q34" i="8"/>
  <c r="B104" i="8"/>
  <c r="AD97" i="8"/>
  <c r="Z97" i="8"/>
  <c r="AA97" i="8"/>
  <c r="AE97" i="8"/>
  <c r="AC97" i="8"/>
  <c r="AB97" i="8"/>
  <c r="Q209" i="8"/>
  <c r="Q210" i="8"/>
  <c r="AC80" i="8"/>
  <c r="AB80" i="8"/>
  <c r="AD80" i="8"/>
  <c r="AE80" i="8"/>
  <c r="R207" i="8"/>
  <c r="E257" i="8" s="1"/>
  <c r="N211" i="8"/>
  <c r="AC81" i="8"/>
  <c r="AB81" i="8"/>
  <c r="AE81" i="8"/>
  <c r="AD81" i="8"/>
  <c r="BF10" i="8"/>
  <c r="X40" i="8"/>
  <c r="D41" i="8"/>
  <c r="AD101" i="8"/>
  <c r="AB101" i="8"/>
  <c r="AE101" i="8"/>
  <c r="AC101" i="8"/>
  <c r="Z101" i="8"/>
  <c r="Z98" i="8"/>
  <c r="Z99" i="8"/>
  <c r="Z102" i="8"/>
  <c r="N93" i="8"/>
  <c r="Z93" i="8" s="1"/>
  <c r="Q90" i="8"/>
  <c r="C93" i="8"/>
  <c r="R214" i="8" s="1"/>
  <c r="F90" i="8"/>
  <c r="U211" i="8" s="1"/>
  <c r="Y38" i="8"/>
  <c r="BG8" i="8"/>
  <c r="E39" i="8"/>
  <c r="AD102" i="8"/>
  <c r="AE102" i="8"/>
  <c r="AC102" i="8"/>
  <c r="AB102" i="8"/>
  <c r="R211" i="8"/>
  <c r="AQ71" i="8"/>
  <c r="J34" i="8"/>
  <c r="V92" i="8"/>
  <c r="W91" i="8"/>
  <c r="T88" i="8"/>
  <c r="S89" i="8"/>
  <c r="N90" i="8"/>
  <c r="Q93" i="8"/>
  <c r="F93" i="8"/>
  <c r="U214" i="8" s="1"/>
  <c r="C90" i="8"/>
  <c r="AD99" i="8"/>
  <c r="AB99" i="8"/>
  <c r="AE99" i="8"/>
  <c r="AC99" i="8"/>
  <c r="AC79" i="8"/>
  <c r="AB79" i="8"/>
  <c r="AD79" i="8"/>
  <c r="AA79" i="8"/>
  <c r="AE79" i="8"/>
  <c r="Z79" i="8"/>
  <c r="P210" i="8"/>
  <c r="P209" i="8"/>
  <c r="AC83" i="8"/>
  <c r="AB83" i="8"/>
  <c r="AE83" i="8"/>
  <c r="AD83" i="8"/>
  <c r="AQ74" i="8"/>
  <c r="P34" i="8"/>
  <c r="AD84" i="8"/>
  <c r="AC84" i="8"/>
  <c r="AB84" i="8"/>
  <c r="AE84" i="8"/>
  <c r="AA80" i="8"/>
  <c r="AA83" i="8"/>
  <c r="AA84" i="8"/>
  <c r="AA81" i="8"/>
  <c r="C88" i="8"/>
  <c r="R209" i="8" s="1"/>
  <c r="C89" i="8"/>
  <c r="N89" i="8"/>
  <c r="B90" i="8"/>
  <c r="Q211" i="8" s="1"/>
  <c r="M90" i="8"/>
  <c r="Z90" i="8" s="1"/>
  <c r="C92" i="8"/>
  <c r="R213" i="8" s="1"/>
  <c r="A93" i="8"/>
  <c r="P214" i="8" s="1"/>
  <c r="M93" i="8"/>
  <c r="Q89" i="8"/>
  <c r="Z89" i="8" s="1"/>
  <c r="P90" i="8"/>
  <c r="F92" i="8"/>
  <c r="U213" i="8" s="1"/>
  <c r="B93" i="8"/>
  <c r="Q214" i="8" s="1"/>
  <c r="P93" i="8"/>
  <c r="E90" i="8"/>
  <c r="T211" i="8" s="1"/>
  <c r="Q92" i="8"/>
  <c r="F88" i="8"/>
  <c r="U209" i="8" s="1"/>
  <c r="A90" i="8"/>
  <c r="C91" i="8"/>
  <c r="R212" i="8" s="1"/>
  <c r="D93" i="8"/>
  <c r="S214" i="8" s="1"/>
  <c r="D90" i="8"/>
  <c r="S211" i="8" s="1"/>
  <c r="F91" i="8"/>
  <c r="U212" i="8" s="1"/>
  <c r="F89" i="8"/>
  <c r="U210" i="8" s="1"/>
  <c r="N92" i="8"/>
  <c r="Z92" i="8" s="1"/>
  <c r="E93" i="8"/>
  <c r="T214" i="8" s="1"/>
  <c r="Z83" i="8"/>
  <c r="Z81" i="8"/>
  <c r="Z80" i="8"/>
  <c r="Z84" i="8"/>
  <c r="AB100" i="8"/>
  <c r="AA100" i="8"/>
  <c r="AE100" i="8"/>
  <c r="Z100" i="8"/>
  <c r="AD100" i="8"/>
  <c r="AC100" i="8"/>
  <c r="AA99" i="8"/>
  <c r="AA98" i="8"/>
  <c r="AA101" i="8"/>
  <c r="AA102" i="8"/>
  <c r="AE82" i="8"/>
  <c r="AA82" i="8"/>
  <c r="AD82" i="8"/>
  <c r="Z82" i="8"/>
  <c r="AB82" i="8"/>
  <c r="AC82" i="8"/>
  <c r="E256" i="8"/>
  <c r="AQ72" i="8"/>
  <c r="K34" i="8"/>
  <c r="E258" i="8"/>
  <c r="R210" i="8"/>
  <c r="E260" i="8" s="1"/>
  <c r="P211" i="8"/>
  <c r="AD98" i="8"/>
  <c r="AC98" i="8"/>
  <c r="AB98" i="8"/>
  <c r="AE98" i="8"/>
  <c r="E259" i="8" l="1"/>
  <c r="E261" i="8"/>
  <c r="AL80" i="8"/>
  <c r="AM80" i="8" s="1"/>
  <c r="AP80" i="8"/>
  <c r="AI80" i="8"/>
  <c r="H35" i="8" s="1"/>
  <c r="AB93" i="8"/>
  <c r="AE93" i="8"/>
  <c r="AD93" i="8"/>
  <c r="AC93" i="8"/>
  <c r="AP98" i="8"/>
  <c r="AI98" i="8"/>
  <c r="H37" i="8" s="1"/>
  <c r="AL98" i="8"/>
  <c r="AM98" i="8" s="1"/>
  <c r="M110" i="8"/>
  <c r="P107" i="8"/>
  <c r="M107" i="8"/>
  <c r="P110" i="8"/>
  <c r="AL81" i="8"/>
  <c r="AM81" i="8" s="1"/>
  <c r="AI81" i="8"/>
  <c r="I35" i="8" s="1"/>
  <c r="E264" i="8"/>
  <c r="AI79" i="8"/>
  <c r="G35" i="8" s="1"/>
  <c r="AP79" i="8"/>
  <c r="AQ79" i="8" s="1"/>
  <c r="AL79" i="8"/>
  <c r="AM79" i="8" s="1"/>
  <c r="AP81" i="8"/>
  <c r="AI101" i="8"/>
  <c r="N37" i="8" s="1"/>
  <c r="AP101" i="8"/>
  <c r="AL101" i="8"/>
  <c r="AM101" i="8" s="1"/>
  <c r="AB91" i="8"/>
  <c r="AE91" i="8"/>
  <c r="AA91" i="8"/>
  <c r="AC91" i="8"/>
  <c r="Z91" i="8"/>
  <c r="AD91" i="8"/>
  <c r="C108" i="8"/>
  <c r="X217" i="8" s="1"/>
  <c r="Q111" i="8"/>
  <c r="F111" i="8"/>
  <c r="N108" i="8"/>
  <c r="AB92" i="8"/>
  <c r="AE92" i="8"/>
  <c r="AC92" i="8"/>
  <c r="AD92" i="8"/>
  <c r="AI100" i="8"/>
  <c r="M37" i="8" s="1"/>
  <c r="AP102" i="8"/>
  <c r="AL100" i="8"/>
  <c r="AM100" i="8" s="1"/>
  <c r="AL83" i="8"/>
  <c r="AM83" i="8" s="1"/>
  <c r="AI83" i="8"/>
  <c r="N35" i="8" s="1"/>
  <c r="AP83" i="8"/>
  <c r="AI102" i="8"/>
  <c r="O37" i="8" s="1"/>
  <c r="AL102" i="8"/>
  <c r="AM102" i="8" s="1"/>
  <c r="B42" i="8"/>
  <c r="E263" i="8"/>
  <c r="E262" i="8"/>
  <c r="S106" i="8"/>
  <c r="T107" i="8"/>
  <c r="W110" i="8"/>
  <c r="V109" i="8"/>
  <c r="E111" i="8"/>
  <c r="Q110" i="8"/>
  <c r="F109" i="8"/>
  <c r="E108" i="8"/>
  <c r="Z217" i="8" s="1"/>
  <c r="A108" i="8"/>
  <c r="V217" i="8" s="1"/>
  <c r="B111" i="8"/>
  <c r="W220" i="8" s="1"/>
  <c r="C110" i="8"/>
  <c r="X219" i="8" s="1"/>
  <c r="D108" i="8"/>
  <c r="Y217" i="8" s="1"/>
  <c r="F107" i="8"/>
  <c r="AA216" i="8" s="1"/>
  <c r="F106" i="8"/>
  <c r="AA215" i="8" s="1"/>
  <c r="P111" i="8"/>
  <c r="A111" i="8"/>
  <c r="V220" i="8" s="1"/>
  <c r="C109" i="8"/>
  <c r="X218" i="8" s="1"/>
  <c r="B108" i="8"/>
  <c r="W217" i="8" s="1"/>
  <c r="C107" i="8"/>
  <c r="X216" i="8" s="1"/>
  <c r="M111" i="8"/>
  <c r="N110" i="8"/>
  <c r="P108" i="8"/>
  <c r="Q107" i="8"/>
  <c r="D111" i="8"/>
  <c r="F110" i="8"/>
  <c r="M108" i="8"/>
  <c r="N107" i="8"/>
  <c r="C106" i="8"/>
  <c r="X215" i="8" s="1"/>
  <c r="AB89" i="8"/>
  <c r="AE89" i="8"/>
  <c r="AD89" i="8"/>
  <c r="AC89" i="8"/>
  <c r="AL82" i="8"/>
  <c r="AM82" i="8" s="1"/>
  <c r="AI82" i="8"/>
  <c r="M35" i="8" s="1"/>
  <c r="AP84" i="8"/>
  <c r="AI84" i="8"/>
  <c r="O35" i="8" s="1"/>
  <c r="AL84" i="8"/>
  <c r="AM84" i="8" s="1"/>
  <c r="AB90" i="8"/>
  <c r="AE90" i="8"/>
  <c r="AC90" i="8"/>
  <c r="AD90" i="8"/>
  <c r="AA93" i="8"/>
  <c r="AI93" i="8" s="1"/>
  <c r="O36" i="8" s="1"/>
  <c r="AA92" i="8"/>
  <c r="AL92" i="8" s="1"/>
  <c r="AM92" i="8" s="1"/>
  <c r="AA90" i="8"/>
  <c r="AL90" i="8" s="1"/>
  <c r="AM90" i="8" s="1"/>
  <c r="AA89" i="8"/>
  <c r="AI89" i="8" s="1"/>
  <c r="H36" i="8" s="1"/>
  <c r="B113" i="8"/>
  <c r="C40" i="8"/>
  <c r="E40" i="8"/>
  <c r="F39" i="8"/>
  <c r="AI99" i="8"/>
  <c r="I37" i="8" s="1"/>
  <c r="AL99" i="8"/>
  <c r="AM99" i="8" s="1"/>
  <c r="AP99" i="8"/>
  <c r="AP97" i="8"/>
  <c r="AQ97" i="8" s="1"/>
  <c r="AI97" i="8"/>
  <c r="G37" i="8" s="1"/>
  <c r="AL97" i="8"/>
  <c r="AM97" i="8" s="1"/>
  <c r="W109" i="8"/>
  <c r="S107" i="8"/>
  <c r="T106" i="8"/>
  <c r="V110" i="8"/>
  <c r="AD88" i="8"/>
  <c r="Z88" i="8"/>
  <c r="AC88" i="8"/>
  <c r="AA88" i="8"/>
  <c r="AE88" i="8"/>
  <c r="AB88" i="8"/>
  <c r="D110" i="8"/>
  <c r="L109" i="8"/>
  <c r="A109" i="8"/>
  <c r="V218" i="8" s="1"/>
  <c r="D106" i="8"/>
  <c r="Y215" i="8" s="1"/>
  <c r="A110" i="8"/>
  <c r="V219" i="8" s="1"/>
  <c r="B109" i="8"/>
  <c r="W218" i="8" s="1"/>
  <c r="B107" i="8"/>
  <c r="W216" i="8" s="1"/>
  <c r="E106" i="8"/>
  <c r="Z215" i="8" s="1"/>
  <c r="O106" i="8"/>
  <c r="O109" i="8"/>
  <c r="E107" i="8"/>
  <c r="Z216" i="8" s="1"/>
  <c r="E110" i="8"/>
  <c r="E109" i="8"/>
  <c r="A107" i="8"/>
  <c r="V216" i="8" s="1"/>
  <c r="A106" i="8"/>
  <c r="V215" i="8" s="1"/>
  <c r="B110" i="8"/>
  <c r="W219" i="8" s="1"/>
  <c r="D109" i="8"/>
  <c r="D107" i="8"/>
  <c r="Y216" i="8" s="1"/>
  <c r="B106" i="8"/>
  <c r="W215" i="8" s="1"/>
  <c r="L106" i="8"/>
  <c r="C111" i="8"/>
  <c r="X220" i="8" s="1"/>
  <c r="N111" i="8"/>
  <c r="Q108" i="8"/>
  <c r="F108" i="8"/>
  <c r="AA217" i="8" s="1"/>
  <c r="AB106" i="8" l="1"/>
  <c r="AE106" i="8"/>
  <c r="AA106" i="8"/>
  <c r="AD106" i="8"/>
  <c r="Z106" i="8"/>
  <c r="AC106" i="8"/>
  <c r="AI88" i="8"/>
  <c r="G36" i="8" s="1"/>
  <c r="AP88" i="8"/>
  <c r="AQ88" i="8" s="1"/>
  <c r="AP90" i="8"/>
  <c r="AL88" i="8"/>
  <c r="AM88" i="8" s="1"/>
  <c r="J112" i="8"/>
  <c r="J113" i="8"/>
  <c r="H112" i="8"/>
  <c r="H113" i="8"/>
  <c r="F113" i="8"/>
  <c r="B112" i="8"/>
  <c r="P35" i="8"/>
  <c r="AQ83" i="8"/>
  <c r="AB110" i="8"/>
  <c r="AE110" i="8"/>
  <c r="AD110" i="8"/>
  <c r="AC110" i="8"/>
  <c r="AP89" i="8"/>
  <c r="AI92" i="8"/>
  <c r="N36" i="8" s="1"/>
  <c r="AA110" i="8"/>
  <c r="AA108" i="8"/>
  <c r="AA111" i="8"/>
  <c r="AA107" i="8"/>
  <c r="AB108" i="8"/>
  <c r="AE108" i="8"/>
  <c r="AD108" i="8"/>
  <c r="AC108" i="8"/>
  <c r="E267" i="8"/>
  <c r="Z111" i="8"/>
  <c r="Z107" i="8"/>
  <c r="Z110" i="8"/>
  <c r="Z108" i="8"/>
  <c r="E265" i="8"/>
  <c r="K37" i="8"/>
  <c r="AQ99" i="8"/>
  <c r="AB111" i="8"/>
  <c r="AE111" i="8"/>
  <c r="AD111" i="8"/>
  <c r="AC111" i="8"/>
  <c r="X41" i="8"/>
  <c r="BF11" i="8"/>
  <c r="D42" i="8"/>
  <c r="AL91" i="8"/>
  <c r="AM91" i="8" s="1"/>
  <c r="AI91" i="8"/>
  <c r="M36" i="8" s="1"/>
  <c r="AP93" i="8"/>
  <c r="K35" i="8"/>
  <c r="AQ81" i="8"/>
  <c r="AQ80" i="8"/>
  <c r="J35" i="8"/>
  <c r="AL89" i="8"/>
  <c r="AM89" i="8" s="1"/>
  <c r="AP92" i="8"/>
  <c r="T115" i="8"/>
  <c r="V119" i="8"/>
  <c r="W118" i="8"/>
  <c r="S116" i="8"/>
  <c r="AQ102" i="8"/>
  <c r="Q37" i="8"/>
  <c r="B122" i="8"/>
  <c r="E41" i="8"/>
  <c r="C41" i="8"/>
  <c r="F40" i="8"/>
  <c r="E266" i="8"/>
  <c r="AD109" i="8"/>
  <c r="Z109" i="8"/>
  <c r="AC109" i="8"/>
  <c r="AB109" i="8"/>
  <c r="AE109" i="8"/>
  <c r="AA109" i="8"/>
  <c r="Y39" i="8"/>
  <c r="BG9" i="8"/>
  <c r="AQ84" i="8"/>
  <c r="Q35" i="8"/>
  <c r="AB107" i="8"/>
  <c r="AE107" i="8"/>
  <c r="AD107" i="8"/>
  <c r="AC107" i="8"/>
  <c r="AL93" i="8"/>
  <c r="AM93" i="8" s="1"/>
  <c r="AI90" i="8"/>
  <c r="I36" i="8" s="1"/>
  <c r="AQ101" i="8"/>
  <c r="P37" i="8"/>
  <c r="J37" i="8"/>
  <c r="AQ98" i="8"/>
  <c r="P36" i="8" l="1"/>
  <c r="AQ92" i="8"/>
  <c r="AI109" i="8"/>
  <c r="M38" i="8" s="1"/>
  <c r="AP111" i="8"/>
  <c r="AL109" i="8"/>
  <c r="AM109" i="8" s="1"/>
  <c r="BG10" i="8"/>
  <c r="Y40" i="8"/>
  <c r="AI111" i="8"/>
  <c r="O38" i="8" s="1"/>
  <c r="AL111" i="8"/>
  <c r="AM111" i="8" s="1"/>
  <c r="L118" i="8"/>
  <c r="B115" i="8"/>
  <c r="Z218" i="8" s="1"/>
  <c r="O115" i="8"/>
  <c r="E119" i="8"/>
  <c r="A119" i="8"/>
  <c r="Y222" i="8" s="1"/>
  <c r="E118" i="8"/>
  <c r="A118" i="8"/>
  <c r="Y221" i="8" s="1"/>
  <c r="D116" i="8"/>
  <c r="AB219" i="8" s="1"/>
  <c r="A116" i="8"/>
  <c r="Y219" i="8" s="1"/>
  <c r="D119" i="8"/>
  <c r="D118" i="8"/>
  <c r="D115" i="8"/>
  <c r="AB218" i="8" s="1"/>
  <c r="B119" i="8"/>
  <c r="Z222" i="8" s="1"/>
  <c r="O118" i="8"/>
  <c r="B118" i="8"/>
  <c r="Z221" i="8" s="1"/>
  <c r="E116" i="8"/>
  <c r="AC219" i="8" s="1"/>
  <c r="B116" i="8"/>
  <c r="Z219" i="8" s="1"/>
  <c r="A115" i="8"/>
  <c r="Y218" i="8" s="1"/>
  <c r="E115" i="8"/>
  <c r="AC218" i="8" s="1"/>
  <c r="L115" i="8"/>
  <c r="M120" i="8"/>
  <c r="A120" i="8"/>
  <c r="Y223" i="8" s="1"/>
  <c r="C119" i="8"/>
  <c r="AA222" i="8" s="1"/>
  <c r="P117" i="8"/>
  <c r="B117" i="8"/>
  <c r="Z220" i="8" s="1"/>
  <c r="N116" i="8"/>
  <c r="E120" i="8"/>
  <c r="Q119" i="8"/>
  <c r="F118" i="8"/>
  <c r="M117" i="8"/>
  <c r="F116" i="8"/>
  <c r="AD219" i="8" s="1"/>
  <c r="C115" i="8"/>
  <c r="AA218" i="8" s="1"/>
  <c r="D120" i="8"/>
  <c r="N119" i="8"/>
  <c r="C118" i="8"/>
  <c r="AA221" i="8" s="1"/>
  <c r="E117" i="8"/>
  <c r="AC220" i="8" s="1"/>
  <c r="A117" i="8"/>
  <c r="Y220" i="8" s="1"/>
  <c r="P120" i="8"/>
  <c r="B120" i="8"/>
  <c r="Z223" i="8" s="1"/>
  <c r="F119" i="8"/>
  <c r="D117" i="8"/>
  <c r="AB220" i="8" s="1"/>
  <c r="Q116" i="8"/>
  <c r="C116" i="8"/>
  <c r="AA219" i="8" s="1"/>
  <c r="F115" i="8"/>
  <c r="AD218" i="8" s="1"/>
  <c r="S125" i="8"/>
  <c r="T124" i="8"/>
  <c r="V128" i="8"/>
  <c r="W127" i="8"/>
  <c r="F122" i="8"/>
  <c r="J121" i="8"/>
  <c r="J122" i="8"/>
  <c r="H121" i="8"/>
  <c r="H122" i="8"/>
  <c r="B121" i="8"/>
  <c r="B131" i="8"/>
  <c r="E42" i="8"/>
  <c r="F42" i="8" s="1"/>
  <c r="C42" i="8"/>
  <c r="F41" i="8"/>
  <c r="AA119" i="8"/>
  <c r="AQ93" i="8"/>
  <c r="Q36" i="8"/>
  <c r="B43" i="8"/>
  <c r="AI108" i="8"/>
  <c r="I38" i="8" s="1"/>
  <c r="AL108" i="8"/>
  <c r="AM108" i="8" s="1"/>
  <c r="N120" i="8"/>
  <c r="C120" i="8"/>
  <c r="AA223" i="8" s="1"/>
  <c r="Q117" i="8"/>
  <c r="F117" i="8"/>
  <c r="AD220" i="8" s="1"/>
  <c r="AI110" i="8"/>
  <c r="N38" i="8" s="1"/>
  <c r="AP110" i="8"/>
  <c r="AL110" i="8"/>
  <c r="AM110" i="8" s="1"/>
  <c r="J36" i="8"/>
  <c r="AQ89" i="8"/>
  <c r="N117" i="8"/>
  <c r="C117" i="8"/>
  <c r="AA220" i="8" s="1"/>
  <c r="Q120" i="8"/>
  <c r="F120" i="8"/>
  <c r="K36" i="8"/>
  <c r="AQ90" i="8"/>
  <c r="AP108" i="8"/>
  <c r="AP106" i="8"/>
  <c r="AQ106" i="8" s="1"/>
  <c r="AI106" i="8"/>
  <c r="G38" i="8" s="1"/>
  <c r="AL106" i="8"/>
  <c r="AM106" i="8" s="1"/>
  <c r="AI107" i="8"/>
  <c r="H38" i="8" s="1"/>
  <c r="AP107" i="8"/>
  <c r="AL107" i="8"/>
  <c r="AM107" i="8" s="1"/>
  <c r="T116" i="8"/>
  <c r="AA117" i="8" s="1"/>
  <c r="S115" i="8"/>
  <c r="W119" i="8"/>
  <c r="V118" i="8"/>
  <c r="M119" i="8"/>
  <c r="P116" i="8"/>
  <c r="M116" i="8"/>
  <c r="P119" i="8"/>
  <c r="F140" i="8" l="1"/>
  <c r="J139" i="8"/>
  <c r="J140" i="8"/>
  <c r="H139" i="8"/>
  <c r="H140" i="8"/>
  <c r="B139" i="8"/>
  <c r="AQ111" i="8"/>
  <c r="Q38" i="8"/>
  <c r="AB116" i="8"/>
  <c r="AE116" i="8"/>
  <c r="AD116" i="8"/>
  <c r="AC116" i="8"/>
  <c r="AQ110" i="8"/>
  <c r="P38" i="8"/>
  <c r="T133" i="8"/>
  <c r="V137" i="8"/>
  <c r="W136" i="8"/>
  <c r="S134" i="8"/>
  <c r="Z120" i="8"/>
  <c r="Z116" i="8"/>
  <c r="Z119" i="8"/>
  <c r="Z117" i="8"/>
  <c r="K38" i="8"/>
  <c r="AQ108" i="8"/>
  <c r="AA116" i="8"/>
  <c r="J130" i="8"/>
  <c r="J131" i="8"/>
  <c r="H130" i="8"/>
  <c r="H131" i="8"/>
  <c r="F131" i="8"/>
  <c r="B130" i="8"/>
  <c r="S124" i="8"/>
  <c r="W128" i="8"/>
  <c r="V127" i="8"/>
  <c r="T125" i="8"/>
  <c r="E129" i="8"/>
  <c r="Q128" i="8"/>
  <c r="F127" i="8"/>
  <c r="E126" i="8"/>
  <c r="AF223" i="8" s="1"/>
  <c r="A126" i="8"/>
  <c r="AB223" i="8" s="1"/>
  <c r="F125" i="8"/>
  <c r="AG222" i="8" s="1"/>
  <c r="C124" i="8"/>
  <c r="D129" i="8"/>
  <c r="N128" i="8"/>
  <c r="C127" i="8"/>
  <c r="AD224" i="8" s="1"/>
  <c r="D126" i="8"/>
  <c r="AE223" i="8" s="1"/>
  <c r="P129" i="8"/>
  <c r="B129" i="8"/>
  <c r="AC226" i="8" s="1"/>
  <c r="F128" i="8"/>
  <c r="P126" i="8"/>
  <c r="B126" i="8"/>
  <c r="AC223" i="8" s="1"/>
  <c r="Q125" i="8"/>
  <c r="C125" i="8"/>
  <c r="F124" i="8"/>
  <c r="AG221" i="8" s="1"/>
  <c r="M126" i="8"/>
  <c r="M129" i="8"/>
  <c r="A129" i="8"/>
  <c r="AB226" i="8" s="1"/>
  <c r="N125" i="8"/>
  <c r="C128" i="8"/>
  <c r="AD225" i="8" s="1"/>
  <c r="AB117" i="8"/>
  <c r="AE117" i="8"/>
  <c r="AD117" i="8"/>
  <c r="AC117" i="8"/>
  <c r="E268" i="8"/>
  <c r="P128" i="8"/>
  <c r="M128" i="8"/>
  <c r="P125" i="8"/>
  <c r="AA125" i="8" s="1"/>
  <c r="M125" i="8"/>
  <c r="AB119" i="8"/>
  <c r="AE119" i="8"/>
  <c r="AD119" i="8"/>
  <c r="AC119" i="8"/>
  <c r="X42" i="8"/>
  <c r="BF12" i="8"/>
  <c r="D43" i="8"/>
  <c r="AA120" i="8"/>
  <c r="Y41" i="8"/>
  <c r="BG11" i="8"/>
  <c r="F126" i="8"/>
  <c r="AG223" i="8" s="1"/>
  <c r="N129" i="8"/>
  <c r="C129" i="8"/>
  <c r="AD226" i="8" s="1"/>
  <c r="Q126" i="8"/>
  <c r="E128" i="8"/>
  <c r="A128" i="8"/>
  <c r="AB225" i="8" s="1"/>
  <c r="E127" i="8"/>
  <c r="A127" i="8"/>
  <c r="AB224" i="8" s="1"/>
  <c r="D125" i="8"/>
  <c r="AE222" i="8" s="1"/>
  <c r="A125" i="8"/>
  <c r="AB222" i="8" s="1"/>
  <c r="E272" i="8" s="1"/>
  <c r="E124" i="8"/>
  <c r="AF221" i="8" s="1"/>
  <c r="L124" i="8"/>
  <c r="D128" i="8"/>
  <c r="D127" i="8"/>
  <c r="B124" i="8"/>
  <c r="AC221" i="8" s="1"/>
  <c r="O124" i="8"/>
  <c r="B128" i="8"/>
  <c r="AC225" i="8" s="1"/>
  <c r="O127" i="8"/>
  <c r="B127" i="8"/>
  <c r="AC224" i="8" s="1"/>
  <c r="E125" i="8"/>
  <c r="AF222" i="8" s="1"/>
  <c r="B125" i="8"/>
  <c r="AC222" i="8" s="1"/>
  <c r="L127" i="8"/>
  <c r="A124" i="8"/>
  <c r="AB221" i="8" s="1"/>
  <c r="D124" i="8"/>
  <c r="AE221" i="8" s="1"/>
  <c r="E270" i="8"/>
  <c r="AD221" i="8"/>
  <c r="AB120" i="8"/>
  <c r="AE120" i="8"/>
  <c r="AD120" i="8"/>
  <c r="AC120" i="8"/>
  <c r="E269" i="8"/>
  <c r="AD118" i="8"/>
  <c r="Z118" i="8"/>
  <c r="AC118" i="8"/>
  <c r="AB118" i="8"/>
  <c r="AE118" i="8"/>
  <c r="AA118" i="8"/>
  <c r="J38" i="8"/>
  <c r="AQ107" i="8"/>
  <c r="B140" i="8"/>
  <c r="E43" i="8"/>
  <c r="C43" i="8"/>
  <c r="C126" i="8"/>
  <c r="AD223" i="8" s="1"/>
  <c r="Q129" i="8"/>
  <c r="F129" i="8"/>
  <c r="N126" i="8"/>
  <c r="AD222" i="8"/>
  <c r="AB115" i="8"/>
  <c r="AE115" i="8"/>
  <c r="AA115" i="8"/>
  <c r="AD115" i="8"/>
  <c r="Z115" i="8"/>
  <c r="AC115" i="8"/>
  <c r="E273" i="8" l="1"/>
  <c r="E271" i="8"/>
  <c r="B44" i="8"/>
  <c r="D44" i="8"/>
  <c r="B148" i="8"/>
  <c r="F43" i="8"/>
  <c r="Z126" i="8"/>
  <c r="Z129" i="8"/>
  <c r="Z125" i="8"/>
  <c r="Z128" i="8"/>
  <c r="C135" i="8"/>
  <c r="Q138" i="8"/>
  <c r="F138" i="8"/>
  <c r="AJ229" i="8" s="1"/>
  <c r="N135" i="8"/>
  <c r="AL116" i="8"/>
  <c r="AM116" i="8" s="1"/>
  <c r="AI116" i="8"/>
  <c r="H39" i="8" s="1"/>
  <c r="AP116" i="8"/>
  <c r="N144" i="8"/>
  <c r="C144" i="8"/>
  <c r="Q147" i="8"/>
  <c r="F147" i="8"/>
  <c r="AC129" i="8"/>
  <c r="AB129" i="8"/>
  <c r="AE129" i="8"/>
  <c r="AD129" i="8"/>
  <c r="AF226" i="8"/>
  <c r="BG12" i="8"/>
  <c r="Y42" i="8"/>
  <c r="AC124" i="8"/>
  <c r="AB124" i="8"/>
  <c r="AE124" i="8"/>
  <c r="AA124" i="8"/>
  <c r="AD124" i="8"/>
  <c r="Z124" i="8"/>
  <c r="AC128" i="8"/>
  <c r="AB128" i="8"/>
  <c r="AE128" i="8"/>
  <c r="AD128" i="8"/>
  <c r="AA129" i="8"/>
  <c r="AC126" i="8"/>
  <c r="AB126" i="8"/>
  <c r="AE126" i="8"/>
  <c r="AD126" i="8"/>
  <c r="S133" i="8"/>
  <c r="W137" i="8"/>
  <c r="V136" i="8"/>
  <c r="T134" i="8"/>
  <c r="M134" i="8"/>
  <c r="AA134" i="8" s="1"/>
  <c r="P137" i="8"/>
  <c r="M137" i="8"/>
  <c r="P134" i="8"/>
  <c r="AL120" i="8"/>
  <c r="AM120" i="8" s="1"/>
  <c r="AI120" i="8"/>
  <c r="O39" i="8" s="1"/>
  <c r="T143" i="8"/>
  <c r="S142" i="8"/>
  <c r="W146" i="8"/>
  <c r="V145" i="8"/>
  <c r="P143" i="8"/>
  <c r="M143" i="8"/>
  <c r="P146" i="8"/>
  <c r="M146" i="8"/>
  <c r="AA126" i="8"/>
  <c r="E137" i="8"/>
  <c r="A137" i="8"/>
  <c r="AE228" i="8" s="1"/>
  <c r="E136" i="8"/>
  <c r="AI227" i="8" s="1"/>
  <c r="A136" i="8"/>
  <c r="AE227" i="8" s="1"/>
  <c r="D134" i="8"/>
  <c r="AH225" i="8" s="1"/>
  <c r="A134" i="8"/>
  <c r="AE225" i="8" s="1"/>
  <c r="D133" i="8"/>
  <c r="AH224" i="8" s="1"/>
  <c r="D137" i="8"/>
  <c r="D136" i="8"/>
  <c r="E133" i="8"/>
  <c r="AI224" i="8" s="1"/>
  <c r="L133" i="8"/>
  <c r="B137" i="8"/>
  <c r="AF228" i="8" s="1"/>
  <c r="O136" i="8"/>
  <c r="B136" i="8"/>
  <c r="AF227" i="8" s="1"/>
  <c r="E134" i="8"/>
  <c r="AI225" i="8" s="1"/>
  <c r="B134" i="8"/>
  <c r="AF225" i="8" s="1"/>
  <c r="B133" i="8"/>
  <c r="O133" i="8"/>
  <c r="L136" i="8"/>
  <c r="A133" i="8"/>
  <c r="E138" i="8"/>
  <c r="AI229" i="8" s="1"/>
  <c r="Q137" i="8"/>
  <c r="F136" i="8"/>
  <c r="AJ227" i="8" s="1"/>
  <c r="E135" i="8"/>
  <c r="AI226" i="8" s="1"/>
  <c r="A135" i="8"/>
  <c r="AE226" i="8" s="1"/>
  <c r="E276" i="8" s="1"/>
  <c r="F134" i="8"/>
  <c r="AJ225" i="8" s="1"/>
  <c r="C133" i="8"/>
  <c r="AG224" i="8" s="1"/>
  <c r="D138" i="8"/>
  <c r="N137" i="8"/>
  <c r="C136" i="8"/>
  <c r="AG227" i="8" s="1"/>
  <c r="D135" i="8"/>
  <c r="AH226" i="8" s="1"/>
  <c r="P138" i="8"/>
  <c r="B138" i="8"/>
  <c r="AF229" i="8" s="1"/>
  <c r="F137" i="8"/>
  <c r="P135" i="8"/>
  <c r="B135" i="8"/>
  <c r="Q134" i="8"/>
  <c r="C134" i="8"/>
  <c r="F133" i="8"/>
  <c r="AJ224" i="8" s="1"/>
  <c r="C137" i="8"/>
  <c r="AG228" i="8" s="1"/>
  <c r="M135" i="8"/>
  <c r="AA135" i="8" s="1"/>
  <c r="M138" i="8"/>
  <c r="A138" i="8"/>
  <c r="AE229" i="8" s="1"/>
  <c r="N134" i="8"/>
  <c r="AL117" i="8"/>
  <c r="AM117" i="8" s="1"/>
  <c r="AI117" i="8"/>
  <c r="I39" i="8" s="1"/>
  <c r="AA138" i="8"/>
  <c r="M147" i="8"/>
  <c r="A147" i="8"/>
  <c r="AH232" i="8" s="1"/>
  <c r="C146" i="8"/>
  <c r="AJ231" i="8" s="1"/>
  <c r="M144" i="8"/>
  <c r="N143" i="8"/>
  <c r="E147" i="8"/>
  <c r="Q146" i="8"/>
  <c r="F145" i="8"/>
  <c r="E144" i="8"/>
  <c r="AL229" i="8" s="1"/>
  <c r="A144" i="8"/>
  <c r="F143" i="8"/>
  <c r="AM228" i="8" s="1"/>
  <c r="C142" i="8"/>
  <c r="D147" i="8"/>
  <c r="N146" i="8"/>
  <c r="C145" i="8"/>
  <c r="AJ230" i="8" s="1"/>
  <c r="D144" i="8"/>
  <c r="AK229" i="8" s="1"/>
  <c r="F146" i="8"/>
  <c r="C143" i="8"/>
  <c r="P144" i="8"/>
  <c r="F142" i="8"/>
  <c r="AM227" i="8" s="1"/>
  <c r="P147" i="8"/>
  <c r="B144" i="8"/>
  <c r="B147" i="8"/>
  <c r="AI232" i="8" s="1"/>
  <c r="Q143" i="8"/>
  <c r="AG226" i="8"/>
  <c r="B149" i="8"/>
  <c r="C44" i="8"/>
  <c r="AL118" i="8"/>
  <c r="AM118" i="8" s="1"/>
  <c r="AI118" i="8"/>
  <c r="M39" i="8" s="1"/>
  <c r="AP120" i="8"/>
  <c r="AF224" i="8"/>
  <c r="AI115" i="8"/>
  <c r="G39" i="8" s="1"/>
  <c r="AL115" i="8"/>
  <c r="AM115" i="8" s="1"/>
  <c r="AP115" i="8"/>
  <c r="AQ115" i="8" s="1"/>
  <c r="AP117" i="8"/>
  <c r="S143" i="8"/>
  <c r="T142" i="8"/>
  <c r="V146" i="8"/>
  <c r="W145" i="8"/>
  <c r="AE127" i="8"/>
  <c r="AA127" i="8"/>
  <c r="AD127" i="8"/>
  <c r="Z127" i="8"/>
  <c r="AC127" i="8"/>
  <c r="AB127" i="8"/>
  <c r="AE224" i="8"/>
  <c r="E274" i="8" s="1"/>
  <c r="AC125" i="8"/>
  <c r="AB125" i="8"/>
  <c r="AE125" i="8"/>
  <c r="AD125" i="8"/>
  <c r="AA128" i="8"/>
  <c r="AG225" i="8"/>
  <c r="C138" i="8"/>
  <c r="AG229" i="8" s="1"/>
  <c r="Q135" i="8"/>
  <c r="F135" i="8"/>
  <c r="AJ226" i="8" s="1"/>
  <c r="N138" i="8"/>
  <c r="AL119" i="8"/>
  <c r="AM119" i="8" s="1"/>
  <c r="AI119" i="8"/>
  <c r="N39" i="8" s="1"/>
  <c r="AP119" i="8"/>
  <c r="N147" i="8"/>
  <c r="C147" i="8"/>
  <c r="AJ232" i="8" s="1"/>
  <c r="Q144" i="8"/>
  <c r="F144" i="8"/>
  <c r="AM229" i="8" s="1"/>
  <c r="L145" i="8"/>
  <c r="A142" i="8"/>
  <c r="E146" i="8"/>
  <c r="A146" i="8"/>
  <c r="AH231" i="8" s="1"/>
  <c r="E145" i="8"/>
  <c r="A145" i="8"/>
  <c r="AH230" i="8" s="1"/>
  <c r="D143" i="8"/>
  <c r="AK228" i="8" s="1"/>
  <c r="A143" i="8"/>
  <c r="D142" i="8"/>
  <c r="AK227" i="8" s="1"/>
  <c r="D146" i="8"/>
  <c r="D145" i="8"/>
  <c r="E142" i="8"/>
  <c r="AL227" i="8" s="1"/>
  <c r="L142" i="8"/>
  <c r="E143" i="8"/>
  <c r="AL228" i="8" s="1"/>
  <c r="B146" i="8"/>
  <c r="AI231" i="8" s="1"/>
  <c r="B143" i="8"/>
  <c r="O145" i="8"/>
  <c r="B145" i="8"/>
  <c r="AI230" i="8" s="1"/>
  <c r="B142" i="8"/>
  <c r="O142" i="8"/>
  <c r="E275" i="8" l="1"/>
  <c r="AQ119" i="8"/>
  <c r="P39" i="8"/>
  <c r="AA144" i="8"/>
  <c r="AA147" i="8"/>
  <c r="AA143" i="8"/>
  <c r="AA146" i="8"/>
  <c r="AP129" i="8"/>
  <c r="AL127" i="8"/>
  <c r="AM127" i="8" s="1"/>
  <c r="AI127" i="8"/>
  <c r="M40" i="8" s="1"/>
  <c r="AB142" i="8"/>
  <c r="AE142" i="8"/>
  <c r="AA142" i="8"/>
  <c r="AC142" i="8"/>
  <c r="AD142" i="8"/>
  <c r="Z142" i="8"/>
  <c r="AD145" i="8"/>
  <c r="Z145" i="8"/>
  <c r="AC145" i="8"/>
  <c r="AE145" i="8"/>
  <c r="AA145" i="8"/>
  <c r="AB145" i="8"/>
  <c r="AQ120" i="8"/>
  <c r="Q39" i="8"/>
  <c r="T151" i="8"/>
  <c r="V155" i="8"/>
  <c r="W154" i="8"/>
  <c r="S152" i="8"/>
  <c r="AH229" i="8"/>
  <c r="AH228" i="8"/>
  <c r="E277" i="8"/>
  <c r="AB143" i="8"/>
  <c r="AE143" i="8"/>
  <c r="AC143" i="8"/>
  <c r="AD143" i="8"/>
  <c r="Z147" i="8"/>
  <c r="Z143" i="8"/>
  <c r="Z144" i="8"/>
  <c r="Z146" i="8"/>
  <c r="AP128" i="8"/>
  <c r="AL128" i="8"/>
  <c r="AM128" i="8" s="1"/>
  <c r="AI128" i="8"/>
  <c r="N40" i="8" s="1"/>
  <c r="J148" i="8"/>
  <c r="J149" i="8"/>
  <c r="H148" i="8"/>
  <c r="H149" i="8"/>
  <c r="F149" i="8"/>
  <c r="E279" i="8"/>
  <c r="AB133" i="8"/>
  <c r="AE133" i="8"/>
  <c r="AA133" i="8"/>
  <c r="AD133" i="8"/>
  <c r="Z133" i="8"/>
  <c r="AC133" i="8"/>
  <c r="AB137" i="8"/>
  <c r="AE137" i="8"/>
  <c r="AD137" i="8"/>
  <c r="AC137" i="8"/>
  <c r="J39" i="8"/>
  <c r="AQ116" i="8"/>
  <c r="AP125" i="8"/>
  <c r="AL125" i="8"/>
  <c r="AM125" i="8" s="1"/>
  <c r="AI125" i="8"/>
  <c r="H40" i="8" s="1"/>
  <c r="W155" i="8"/>
  <c r="V154" i="8"/>
  <c r="S151" i="8"/>
  <c r="T152" i="8"/>
  <c r="AB144" i="8"/>
  <c r="AE144" i="8"/>
  <c r="AC144" i="8"/>
  <c r="AD144" i="8"/>
  <c r="AB138" i="8"/>
  <c r="AE138" i="8"/>
  <c r="AD138" i="8"/>
  <c r="AC138" i="8"/>
  <c r="AJ228" i="8"/>
  <c r="E278" i="8"/>
  <c r="AB146" i="8"/>
  <c r="AE146" i="8"/>
  <c r="AC146" i="8"/>
  <c r="AD146" i="8"/>
  <c r="AI129" i="8"/>
  <c r="O40" i="8" s="1"/>
  <c r="AL129" i="8"/>
  <c r="AM129" i="8" s="1"/>
  <c r="D45" i="8"/>
  <c r="B45" i="8"/>
  <c r="AB147" i="8"/>
  <c r="AE147" i="8"/>
  <c r="AC147" i="8"/>
  <c r="AD147" i="8"/>
  <c r="AD136" i="8"/>
  <c r="Z136" i="8"/>
  <c r="AC136" i="8"/>
  <c r="AB136" i="8"/>
  <c r="AE136" i="8"/>
  <c r="AA136" i="8"/>
  <c r="K39" i="8"/>
  <c r="AQ117" i="8"/>
  <c r="E44" i="8"/>
  <c r="F44" i="8" s="1"/>
  <c r="Y43" i="8"/>
  <c r="BG13" i="8"/>
  <c r="AA137" i="8"/>
  <c r="AB135" i="8"/>
  <c r="AE135" i="8"/>
  <c r="AD135" i="8"/>
  <c r="AC135" i="8"/>
  <c r="AH227" i="8"/>
  <c r="AI228" i="8"/>
  <c r="AB134" i="8"/>
  <c r="AE134" i="8"/>
  <c r="AD134" i="8"/>
  <c r="AC134" i="8"/>
  <c r="Z138" i="8"/>
  <c r="Z134" i="8"/>
  <c r="Z137" i="8"/>
  <c r="Z135" i="8"/>
  <c r="AP126" i="8"/>
  <c r="AP124" i="8"/>
  <c r="AQ124" i="8" s="1"/>
  <c r="AI124" i="8"/>
  <c r="G40" i="8" s="1"/>
  <c r="AL124" i="8"/>
  <c r="AM124" i="8" s="1"/>
  <c r="AL126" i="8"/>
  <c r="AM126" i="8" s="1"/>
  <c r="AI126" i="8"/>
  <c r="I40" i="8" s="1"/>
  <c r="X43" i="8"/>
  <c r="BF13" i="8"/>
  <c r="J157" i="8" l="1"/>
  <c r="J158" i="8"/>
  <c r="F158" i="8"/>
  <c r="H158" i="8"/>
  <c r="H157" i="8"/>
  <c r="B157" i="8"/>
  <c r="AL134" i="8"/>
  <c r="AM134" i="8" s="1"/>
  <c r="AP134" i="8"/>
  <c r="AI134" i="8"/>
  <c r="H41" i="8" s="1"/>
  <c r="AI133" i="8"/>
  <c r="G41" i="8" s="1"/>
  <c r="AL133" i="8"/>
  <c r="AM133" i="8" s="1"/>
  <c r="AP133" i="8"/>
  <c r="AQ133" i="8" s="1"/>
  <c r="AP135" i="8"/>
  <c r="D156" i="8"/>
  <c r="N155" i="8"/>
  <c r="C154" i="8"/>
  <c r="AM233" i="8" s="1"/>
  <c r="D153" i="8"/>
  <c r="AN232" i="8" s="1"/>
  <c r="P156" i="8"/>
  <c r="B156" i="8"/>
  <c r="AL235" i="8" s="1"/>
  <c r="F155" i="8"/>
  <c r="P153" i="8"/>
  <c r="B153" i="8"/>
  <c r="AL232" i="8" s="1"/>
  <c r="Q152" i="8"/>
  <c r="C152" i="8"/>
  <c r="AM231" i="8" s="1"/>
  <c r="F151" i="8"/>
  <c r="AP230" i="8" s="1"/>
  <c r="E156" i="8"/>
  <c r="F154" i="8"/>
  <c r="A153" i="8"/>
  <c r="AK232" i="8" s="1"/>
  <c r="C151" i="8"/>
  <c r="AM230" i="8" s="1"/>
  <c r="Q155" i="8"/>
  <c r="E153" i="8"/>
  <c r="AO232" i="8" s="1"/>
  <c r="F152" i="8"/>
  <c r="AP231" i="8" s="1"/>
  <c r="C155" i="8"/>
  <c r="AM234" i="8" s="1"/>
  <c r="M153" i="8"/>
  <c r="M156" i="8"/>
  <c r="A156" i="8"/>
  <c r="AK235" i="8" s="1"/>
  <c r="N152" i="8"/>
  <c r="AQ126" i="8"/>
  <c r="K40" i="8"/>
  <c r="AL138" i="8"/>
  <c r="AM138" i="8" s="1"/>
  <c r="AI138" i="8"/>
  <c r="O41" i="8" s="1"/>
  <c r="D46" i="8"/>
  <c r="B46" i="8"/>
  <c r="Q153" i="8"/>
  <c r="F153" i="8"/>
  <c r="AP232" i="8" s="1"/>
  <c r="C156" i="8"/>
  <c r="AM235" i="8" s="1"/>
  <c r="N156" i="8"/>
  <c r="AL144" i="8"/>
  <c r="AM144" i="8" s="1"/>
  <c r="AI144" i="8"/>
  <c r="I42" i="8" s="1"/>
  <c r="BF14" i="8"/>
  <c r="X44" i="8"/>
  <c r="D155" i="8"/>
  <c r="L154" i="8"/>
  <c r="A154" i="8"/>
  <c r="AK233" i="8" s="1"/>
  <c r="E151" i="8"/>
  <c r="AO230" i="8" s="1"/>
  <c r="L151" i="8"/>
  <c r="B155" i="8"/>
  <c r="AL234" i="8" s="1"/>
  <c r="E154" i="8"/>
  <c r="E152" i="8"/>
  <c r="AO231" i="8" s="1"/>
  <c r="B152" i="8"/>
  <c r="AL231" i="8" s="1"/>
  <c r="B151" i="8"/>
  <c r="AL230" i="8" s="1"/>
  <c r="O151" i="8"/>
  <c r="O154" i="8"/>
  <c r="D152" i="8"/>
  <c r="AN231" i="8" s="1"/>
  <c r="E155" i="8"/>
  <c r="B154" i="8"/>
  <c r="AL233" i="8" s="1"/>
  <c r="A152" i="8"/>
  <c r="AK231" i="8" s="1"/>
  <c r="E281" i="8" s="1"/>
  <c r="D151" i="8"/>
  <c r="AN230" i="8" s="1"/>
  <c r="A155" i="8"/>
  <c r="AK234" i="8" s="1"/>
  <c r="A151" i="8"/>
  <c r="AK230" i="8" s="1"/>
  <c r="D154" i="8"/>
  <c r="AP146" i="8"/>
  <c r="AI146" i="8"/>
  <c r="N42" i="8" s="1"/>
  <c r="AL146" i="8"/>
  <c r="AM146" i="8" s="1"/>
  <c r="Q156" i="8"/>
  <c r="Z156" i="8" s="1"/>
  <c r="F156" i="8"/>
  <c r="C153" i="8"/>
  <c r="AM232" i="8" s="1"/>
  <c r="N153" i="8"/>
  <c r="Z153" i="8" s="1"/>
  <c r="AI143" i="8"/>
  <c r="H42" i="8" s="1"/>
  <c r="AL143" i="8"/>
  <c r="AM143" i="8" s="1"/>
  <c r="AP143" i="8"/>
  <c r="AI142" i="8"/>
  <c r="G42" i="8" s="1"/>
  <c r="AL142" i="8"/>
  <c r="AM142" i="8" s="1"/>
  <c r="AP142" i="8"/>
  <c r="AQ142" i="8" s="1"/>
  <c r="AP144" i="8"/>
  <c r="AQ129" i="8"/>
  <c r="Q40" i="8"/>
  <c r="AA156" i="8"/>
  <c r="AA153" i="8"/>
  <c r="AL135" i="8"/>
  <c r="AM135" i="8" s="1"/>
  <c r="AI135" i="8"/>
  <c r="I41" i="8" s="1"/>
  <c r="AL137" i="8"/>
  <c r="AM137" i="8" s="1"/>
  <c r="AP137" i="8"/>
  <c r="AI137" i="8"/>
  <c r="N41" i="8" s="1"/>
  <c r="C45" i="8"/>
  <c r="B158" i="8"/>
  <c r="AL136" i="8"/>
  <c r="AM136" i="8" s="1"/>
  <c r="AP138" i="8"/>
  <c r="AI136" i="8"/>
  <c r="M41" i="8" s="1"/>
  <c r="AQ125" i="8"/>
  <c r="J40" i="8"/>
  <c r="M152" i="8"/>
  <c r="P155" i="8"/>
  <c r="P152" i="8"/>
  <c r="M155" i="8"/>
  <c r="AQ128" i="8"/>
  <c r="P40" i="8"/>
  <c r="AI147" i="8"/>
  <c r="O42" i="8" s="1"/>
  <c r="AL147" i="8"/>
  <c r="AM147" i="8" s="1"/>
  <c r="AI145" i="8"/>
  <c r="M42" i="8" s="1"/>
  <c r="AL145" i="8"/>
  <c r="AM145" i="8" s="1"/>
  <c r="AP147" i="8"/>
  <c r="AB152" i="8" l="1"/>
  <c r="AE152" i="8"/>
  <c r="AC152" i="8"/>
  <c r="AD152" i="8"/>
  <c r="T160" i="8"/>
  <c r="V164" i="8"/>
  <c r="S161" i="8"/>
  <c r="W163" i="8"/>
  <c r="E45" i="8"/>
  <c r="Y44" i="8"/>
  <c r="BG14" i="8"/>
  <c r="AA152" i="8"/>
  <c r="AQ144" i="8"/>
  <c r="K42" i="8"/>
  <c r="AQ143" i="8"/>
  <c r="J42" i="8"/>
  <c r="AD154" i="8"/>
  <c r="Z154" i="8"/>
  <c r="AC154" i="8"/>
  <c r="AE154" i="8"/>
  <c r="AA154" i="8"/>
  <c r="AB154" i="8"/>
  <c r="X45" i="8"/>
  <c r="BF15" i="8"/>
  <c r="AB156" i="8"/>
  <c r="AL156" i="8" s="1"/>
  <c r="AM156" i="8" s="1"/>
  <c r="AE156" i="8"/>
  <c r="AC156" i="8"/>
  <c r="AD156" i="8"/>
  <c r="AP233" i="8"/>
  <c r="Q162" i="8"/>
  <c r="N165" i="8"/>
  <c r="C165" i="8"/>
  <c r="AP238" i="8" s="1"/>
  <c r="F162" i="8"/>
  <c r="AS235" i="8" s="1"/>
  <c r="AQ138" i="8"/>
  <c r="Q41" i="8"/>
  <c r="Z152" i="8"/>
  <c r="P42" i="8"/>
  <c r="AQ146" i="8"/>
  <c r="AB151" i="8"/>
  <c r="AE151" i="8"/>
  <c r="AA151" i="8"/>
  <c r="AC151" i="8"/>
  <c r="AD151" i="8"/>
  <c r="Z151" i="8"/>
  <c r="D47" i="8"/>
  <c r="B47" i="8"/>
  <c r="AB153" i="8"/>
  <c r="AL153" i="8" s="1"/>
  <c r="AM153" i="8" s="1"/>
  <c r="AE153" i="8"/>
  <c r="AC153" i="8"/>
  <c r="AD153" i="8"/>
  <c r="AO235" i="8"/>
  <c r="S160" i="8"/>
  <c r="V163" i="8"/>
  <c r="T161" i="8"/>
  <c r="W164" i="8"/>
  <c r="D164" i="8"/>
  <c r="L163" i="8"/>
  <c r="A163" i="8"/>
  <c r="AN236" i="8" s="1"/>
  <c r="A160" i="8"/>
  <c r="E160" i="8"/>
  <c r="AR233" i="8" s="1"/>
  <c r="L160" i="8"/>
  <c r="A164" i="8"/>
  <c r="AN237" i="8" s="1"/>
  <c r="D163" i="8"/>
  <c r="O163" i="8"/>
  <c r="D161" i="8"/>
  <c r="AQ234" i="8" s="1"/>
  <c r="E163" i="8"/>
  <c r="B161" i="8"/>
  <c r="AO234" i="8" s="1"/>
  <c r="O160" i="8"/>
  <c r="E164" i="8"/>
  <c r="B163" i="8"/>
  <c r="AO236" i="8" s="1"/>
  <c r="A161" i="8"/>
  <c r="AN234" i="8" s="1"/>
  <c r="E284" i="8" s="1"/>
  <c r="D160" i="8"/>
  <c r="AQ233" i="8" s="1"/>
  <c r="B164" i="8"/>
  <c r="AO237" i="8" s="1"/>
  <c r="E161" i="8"/>
  <c r="AR234" i="8" s="1"/>
  <c r="B160" i="8"/>
  <c r="AB155" i="8"/>
  <c r="AE155" i="8"/>
  <c r="AC155" i="8"/>
  <c r="AD155" i="8"/>
  <c r="AQ137" i="8"/>
  <c r="P41" i="8"/>
  <c r="AA155" i="8"/>
  <c r="AN233" i="8"/>
  <c r="K41" i="8"/>
  <c r="AQ135" i="8"/>
  <c r="M161" i="8"/>
  <c r="M164" i="8"/>
  <c r="P164" i="8"/>
  <c r="P161" i="8"/>
  <c r="AQ147" i="8"/>
  <c r="Q42" i="8"/>
  <c r="Z155" i="8"/>
  <c r="E280" i="8"/>
  <c r="AO233" i="8"/>
  <c r="E283" i="8"/>
  <c r="E282" i="8"/>
  <c r="J41" i="8"/>
  <c r="AQ134" i="8"/>
  <c r="C162" i="8"/>
  <c r="AP235" i="8" s="1"/>
  <c r="F165" i="8"/>
  <c r="Q165" i="8"/>
  <c r="N162" i="8"/>
  <c r="E165" i="8"/>
  <c r="Q164" i="8"/>
  <c r="F163" i="8"/>
  <c r="E162" i="8"/>
  <c r="AR235" i="8" s="1"/>
  <c r="A162" i="8"/>
  <c r="AN235" i="8" s="1"/>
  <c r="P165" i="8"/>
  <c r="B165" i="8"/>
  <c r="AO238" i="8" s="1"/>
  <c r="F164" i="8"/>
  <c r="P162" i="8"/>
  <c r="B162" i="8"/>
  <c r="N161" i="8"/>
  <c r="M165" i="8"/>
  <c r="C164" i="8"/>
  <c r="AP237" i="8" s="1"/>
  <c r="C160" i="8"/>
  <c r="D165" i="8"/>
  <c r="C163" i="8"/>
  <c r="AP236" i="8" s="1"/>
  <c r="Q161" i="8"/>
  <c r="F160" i="8"/>
  <c r="AS233" i="8" s="1"/>
  <c r="A165" i="8"/>
  <c r="AN238" i="8" s="1"/>
  <c r="M162" i="8"/>
  <c r="F161" i="8"/>
  <c r="AS234" i="8" s="1"/>
  <c r="N164" i="8"/>
  <c r="D162" i="8"/>
  <c r="AQ235" i="8" s="1"/>
  <c r="C161" i="8"/>
  <c r="AP234" i="8" s="1"/>
  <c r="E285" i="8" l="1"/>
  <c r="AD160" i="8"/>
  <c r="Z160" i="8"/>
  <c r="AB160" i="8"/>
  <c r="AE160" i="8"/>
  <c r="AC160" i="8"/>
  <c r="AA160" i="8"/>
  <c r="AB163" i="8"/>
  <c r="AD163" i="8"/>
  <c r="Z163" i="8"/>
  <c r="AC163" i="8"/>
  <c r="AA163" i="8"/>
  <c r="AE163" i="8"/>
  <c r="AL154" i="8"/>
  <c r="AM154" i="8" s="1"/>
  <c r="AI154" i="8"/>
  <c r="M43" i="8" s="1"/>
  <c r="AP156" i="8"/>
  <c r="AI153" i="8"/>
  <c r="I43" i="8" s="1"/>
  <c r="AD162" i="8"/>
  <c r="AB162" i="8"/>
  <c r="AE162" i="8"/>
  <c r="AC162" i="8"/>
  <c r="AL155" i="8"/>
  <c r="AM155" i="8" s="1"/>
  <c r="AI155" i="8"/>
  <c r="N43" i="8" s="1"/>
  <c r="AP155" i="8"/>
  <c r="AL152" i="8"/>
  <c r="AM152" i="8" s="1"/>
  <c r="AI152" i="8"/>
  <c r="H43" i="8" s="1"/>
  <c r="AP152" i="8"/>
  <c r="AD161" i="8"/>
  <c r="AB161" i="8"/>
  <c r="AE161" i="8"/>
  <c r="AC161" i="8"/>
  <c r="AD165" i="8"/>
  <c r="AB165" i="8"/>
  <c r="AE165" i="8"/>
  <c r="AC165" i="8"/>
  <c r="Z164" i="8"/>
  <c r="Z165" i="8"/>
  <c r="Z161" i="8"/>
  <c r="Z162" i="8"/>
  <c r="AI151" i="8"/>
  <c r="G43" i="8" s="1"/>
  <c r="AP151" i="8"/>
  <c r="AQ151" i="8" s="1"/>
  <c r="AP153" i="8"/>
  <c r="AL151" i="8"/>
  <c r="AM151" i="8" s="1"/>
  <c r="AD164" i="8"/>
  <c r="AB164" i="8"/>
  <c r="AE164" i="8"/>
  <c r="AC164" i="8"/>
  <c r="BD6" i="8"/>
  <c r="BD8" i="8"/>
  <c r="BF16" i="8"/>
  <c r="BD5" i="8"/>
  <c r="BD7" i="8"/>
  <c r="X46" i="8"/>
  <c r="AI156" i="8"/>
  <c r="O43" i="8" s="1"/>
  <c r="BF17" i="8"/>
  <c r="X47" i="8"/>
  <c r="C46" i="8"/>
  <c r="F45" i="8"/>
  <c r="B167" i="8" s="1"/>
  <c r="AA165" i="8"/>
  <c r="AA164" i="8"/>
  <c r="AA162" i="8"/>
  <c r="AA161" i="8"/>
  <c r="W172" i="8" l="1"/>
  <c r="T169" i="8"/>
  <c r="V173" i="8"/>
  <c r="S170" i="8"/>
  <c r="E46" i="8"/>
  <c r="BG15" i="8"/>
  <c r="Y45" i="8"/>
  <c r="AL162" i="8"/>
  <c r="AM162" i="8" s="1"/>
  <c r="AI162" i="8"/>
  <c r="I44" i="8" s="1"/>
  <c r="AL163" i="8"/>
  <c r="AM163" i="8" s="1"/>
  <c r="AI163" i="8"/>
  <c r="M44" i="8" s="1"/>
  <c r="AP165" i="8"/>
  <c r="AI165" i="8"/>
  <c r="O44" i="8" s="1"/>
  <c r="AL165" i="8"/>
  <c r="AM165" i="8" s="1"/>
  <c r="J43" i="8"/>
  <c r="AQ152" i="8"/>
  <c r="K43" i="8"/>
  <c r="AQ153" i="8"/>
  <c r="AL161" i="8"/>
  <c r="AM161" i="8" s="1"/>
  <c r="AI161" i="8"/>
  <c r="H44" i="8" s="1"/>
  <c r="AP161" i="8"/>
  <c r="AQ155" i="8"/>
  <c r="P43" i="8"/>
  <c r="H167" i="8"/>
  <c r="J166" i="8"/>
  <c r="H166" i="8"/>
  <c r="J167" i="8"/>
  <c r="F167" i="8"/>
  <c r="B166" i="8"/>
  <c r="Q43" i="8"/>
  <c r="AQ156" i="8"/>
  <c r="AL164" i="8"/>
  <c r="AM164" i="8" s="1"/>
  <c r="AI164" i="8"/>
  <c r="N44" i="8" s="1"/>
  <c r="AP164" i="8"/>
  <c r="AI160" i="8"/>
  <c r="G44" i="8" s="1"/>
  <c r="AP162" i="8"/>
  <c r="AL160" i="8"/>
  <c r="AM160" i="8" s="1"/>
  <c r="AP160" i="8"/>
  <c r="AQ160" i="8" s="1"/>
  <c r="Q171" i="8" l="1"/>
  <c r="N174" i="8"/>
  <c r="C174" i="8"/>
  <c r="AS241" i="8" s="1"/>
  <c r="F171" i="8"/>
  <c r="AV238" i="8" s="1"/>
  <c r="Q44" i="8"/>
  <c r="AQ165" i="8"/>
  <c r="D173" i="8"/>
  <c r="L172" i="8"/>
  <c r="A172" i="8"/>
  <c r="AQ239" i="8" s="1"/>
  <c r="A169" i="8"/>
  <c r="AQ236" i="8" s="1"/>
  <c r="E169" i="8"/>
  <c r="AU236" i="8" s="1"/>
  <c r="L169" i="8"/>
  <c r="A173" i="8"/>
  <c r="AQ240" i="8" s="1"/>
  <c r="D172" i="8"/>
  <c r="E173" i="8"/>
  <c r="B172" i="8"/>
  <c r="AR239" i="8" s="1"/>
  <c r="A170" i="8"/>
  <c r="AQ237" i="8" s="1"/>
  <c r="E287" i="8" s="1"/>
  <c r="D169" i="8"/>
  <c r="AT236" i="8" s="1"/>
  <c r="B173" i="8"/>
  <c r="AR240" i="8" s="1"/>
  <c r="E170" i="8"/>
  <c r="AU237" i="8" s="1"/>
  <c r="B169" i="8"/>
  <c r="AR236" i="8" s="1"/>
  <c r="O172" i="8"/>
  <c r="D170" i="8"/>
  <c r="AT237" i="8" s="1"/>
  <c r="E172" i="8"/>
  <c r="B170" i="8"/>
  <c r="AR237" i="8" s="1"/>
  <c r="O169" i="8"/>
  <c r="AQ164" i="8"/>
  <c r="P44" i="8"/>
  <c r="M170" i="8"/>
  <c r="AA170" i="8" s="1"/>
  <c r="M173" i="8"/>
  <c r="P170" i="8"/>
  <c r="P173" i="8"/>
  <c r="C171" i="8"/>
  <c r="AS238" i="8" s="1"/>
  <c r="F174" i="8"/>
  <c r="N171" i="8"/>
  <c r="Q174" i="8"/>
  <c r="AA174" i="8"/>
  <c r="K44" i="8"/>
  <c r="AQ162" i="8"/>
  <c r="S169" i="8"/>
  <c r="V172" i="8"/>
  <c r="W173" i="8"/>
  <c r="T170" i="8"/>
  <c r="AA173" i="8" s="1"/>
  <c r="E174" i="8"/>
  <c r="Q173" i="8"/>
  <c r="F172" i="8"/>
  <c r="E171" i="8"/>
  <c r="AU238" i="8" s="1"/>
  <c r="A171" i="8"/>
  <c r="AQ238" i="8" s="1"/>
  <c r="P174" i="8"/>
  <c r="B174" i="8"/>
  <c r="AR241" i="8" s="1"/>
  <c r="F173" i="8"/>
  <c r="P171" i="8"/>
  <c r="B171" i="8"/>
  <c r="AR238" i="8" s="1"/>
  <c r="N170" i="8"/>
  <c r="A174" i="8"/>
  <c r="AQ241" i="8" s="1"/>
  <c r="M171" i="8"/>
  <c r="AA171" i="8" s="1"/>
  <c r="F170" i="8"/>
  <c r="AV237" i="8" s="1"/>
  <c r="N173" i="8"/>
  <c r="D171" i="8"/>
  <c r="AT238" i="8" s="1"/>
  <c r="C170" i="8"/>
  <c r="AS237" i="8" s="1"/>
  <c r="M174" i="8"/>
  <c r="C173" i="8"/>
  <c r="AS240" i="8" s="1"/>
  <c r="C169" i="8"/>
  <c r="AS236" i="8" s="1"/>
  <c r="D174" i="8"/>
  <c r="C172" i="8"/>
  <c r="AS239" i="8" s="1"/>
  <c r="Q170" i="8"/>
  <c r="F169" i="8"/>
  <c r="AV236" i="8" s="1"/>
  <c r="J44" i="8"/>
  <c r="AQ161" i="8"/>
  <c r="B176" i="8"/>
  <c r="C47" i="8"/>
  <c r="F46" i="8"/>
  <c r="AD174" i="8" l="1"/>
  <c r="AB174" i="8"/>
  <c r="AE174" i="8"/>
  <c r="AC174" i="8"/>
  <c r="AD169" i="8"/>
  <c r="Z169" i="8"/>
  <c r="AB169" i="8"/>
  <c r="AA169" i="8"/>
  <c r="AE169" i="8"/>
  <c r="AC169" i="8"/>
  <c r="AB172" i="8"/>
  <c r="AD172" i="8"/>
  <c r="Z172" i="8"/>
  <c r="AE172" i="8"/>
  <c r="AC172" i="8"/>
  <c r="AA172" i="8"/>
  <c r="E47" i="8"/>
  <c r="Y46" i="8"/>
  <c r="BG16" i="8"/>
  <c r="H176" i="8"/>
  <c r="J175" i="8"/>
  <c r="J176" i="8"/>
  <c r="F176" i="8"/>
  <c r="H175" i="8"/>
  <c r="B175" i="8"/>
  <c r="AD171" i="8"/>
  <c r="AB171" i="8"/>
  <c r="AE171" i="8"/>
  <c r="AC171" i="8"/>
  <c r="E288" i="8"/>
  <c r="Z173" i="8"/>
  <c r="Z174" i="8"/>
  <c r="Z170" i="8"/>
  <c r="Z171" i="8"/>
  <c r="AD173" i="8"/>
  <c r="AB173" i="8"/>
  <c r="AE173" i="8"/>
  <c r="AC173" i="8"/>
  <c r="E286" i="8"/>
  <c r="W181" i="8"/>
  <c r="T178" i="8"/>
  <c r="V182" i="8"/>
  <c r="S179" i="8"/>
  <c r="AD170" i="8"/>
  <c r="AB170" i="8"/>
  <c r="AE170" i="8"/>
  <c r="AC170" i="8"/>
  <c r="Q180" i="8" l="1"/>
  <c r="F180" i="8"/>
  <c r="AY241" i="8" s="1"/>
  <c r="N183" i="8"/>
  <c r="C183" i="8"/>
  <c r="AV244" i="8" s="1"/>
  <c r="AL174" i="8"/>
  <c r="AM174" i="8" s="1"/>
  <c r="AI174" i="8"/>
  <c r="O45" i="8" s="1"/>
  <c r="D182" i="8"/>
  <c r="L181" i="8"/>
  <c r="A181" i="8"/>
  <c r="AT242" i="8" s="1"/>
  <c r="A178" i="8"/>
  <c r="AT239" i="8" s="1"/>
  <c r="E178" i="8"/>
  <c r="AX239" i="8" s="1"/>
  <c r="L178" i="8"/>
  <c r="B182" i="8"/>
  <c r="AU243" i="8" s="1"/>
  <c r="E181" i="8"/>
  <c r="E179" i="8"/>
  <c r="AX240" i="8" s="1"/>
  <c r="B179" i="8"/>
  <c r="AU240" i="8" s="1"/>
  <c r="B178" i="8"/>
  <c r="AU239" i="8" s="1"/>
  <c r="O178" i="8"/>
  <c r="A182" i="8"/>
  <c r="AT243" i="8" s="1"/>
  <c r="D181" i="8"/>
  <c r="E182" i="8"/>
  <c r="O181" i="8"/>
  <c r="B181" i="8"/>
  <c r="AU242" i="8" s="1"/>
  <c r="D179" i="8"/>
  <c r="AW240" i="8" s="1"/>
  <c r="A179" i="8"/>
  <c r="AT240" i="8" s="1"/>
  <c r="E290" i="8" s="1"/>
  <c r="D178" i="8"/>
  <c r="AW239" i="8" s="1"/>
  <c r="M179" i="8"/>
  <c r="P182" i="8"/>
  <c r="M182" i="8"/>
  <c r="P179" i="8"/>
  <c r="AI169" i="8"/>
  <c r="G45" i="8" s="1"/>
  <c r="AL169" i="8"/>
  <c r="AM169" i="8" s="1"/>
  <c r="AP171" i="8"/>
  <c r="AP169" i="8"/>
  <c r="AQ169" i="8" s="1"/>
  <c r="AL173" i="8"/>
  <c r="AM173" i="8" s="1"/>
  <c r="AI173" i="8"/>
  <c r="N45" i="8" s="1"/>
  <c r="AP173" i="8"/>
  <c r="AL171" i="8"/>
  <c r="AM171" i="8" s="1"/>
  <c r="AI171" i="8"/>
  <c r="I45" i="8" s="1"/>
  <c r="W182" i="8"/>
  <c r="T179" i="8"/>
  <c r="V181" i="8"/>
  <c r="S178" i="8"/>
  <c r="M183" i="8"/>
  <c r="A183" i="8"/>
  <c r="AT244" i="8" s="1"/>
  <c r="C182" i="8"/>
  <c r="AV243" i="8" s="1"/>
  <c r="M180" i="8"/>
  <c r="AA180" i="8" s="1"/>
  <c r="F179" i="8"/>
  <c r="AY240" i="8" s="1"/>
  <c r="C178" i="8"/>
  <c r="AV239" i="8" s="1"/>
  <c r="B183" i="8"/>
  <c r="AU244" i="8" s="1"/>
  <c r="F181" i="8"/>
  <c r="D180" i="8"/>
  <c r="AW241" i="8" s="1"/>
  <c r="N179" i="8"/>
  <c r="P183" i="8"/>
  <c r="Q182" i="8"/>
  <c r="C181" i="8"/>
  <c r="AV242" i="8" s="1"/>
  <c r="B180" i="8"/>
  <c r="AU241" i="8" s="1"/>
  <c r="F178" i="8"/>
  <c r="AY239" i="8" s="1"/>
  <c r="E183" i="8"/>
  <c r="N182" i="8"/>
  <c r="P180" i="8"/>
  <c r="A180" i="8"/>
  <c r="AT241" i="8" s="1"/>
  <c r="C179" i="8"/>
  <c r="AV240" i="8" s="1"/>
  <c r="D183" i="8"/>
  <c r="F182" i="8"/>
  <c r="E180" i="8"/>
  <c r="AX241" i="8" s="1"/>
  <c r="Q179" i="8"/>
  <c r="BG17" i="8"/>
  <c r="B185" i="8"/>
  <c r="BE5" i="8"/>
  <c r="BE8" i="8" s="1"/>
  <c r="Y47" i="8"/>
  <c r="F47" i="8"/>
  <c r="AL172" i="8"/>
  <c r="AM172" i="8" s="1"/>
  <c r="AI172" i="8"/>
  <c r="M45" i="8" s="1"/>
  <c r="AP174" i="8"/>
  <c r="AL170" i="8"/>
  <c r="AM170" i="8" s="1"/>
  <c r="AI170" i="8"/>
  <c r="H45" i="8" s="1"/>
  <c r="AP170" i="8"/>
  <c r="Q183" i="8"/>
  <c r="N180" i="8"/>
  <c r="C180" i="8"/>
  <c r="AV241" i="8" s="1"/>
  <c r="F183" i="8"/>
  <c r="W190" i="8" l="1"/>
  <c r="S188" i="8"/>
  <c r="T187" i="8"/>
  <c r="V191" i="8"/>
  <c r="AQ171" i="8"/>
  <c r="K45" i="8"/>
  <c r="AD182" i="8"/>
  <c r="AC182" i="8"/>
  <c r="AB182" i="8"/>
  <c r="AE182" i="8"/>
  <c r="H185" i="8"/>
  <c r="F185" i="8"/>
  <c r="J184" i="8"/>
  <c r="J185" i="8"/>
  <c r="H184" i="8"/>
  <c r="B184" i="8"/>
  <c r="D2" i="8"/>
  <c r="AD183" i="8"/>
  <c r="AC183" i="8"/>
  <c r="AB183" i="8"/>
  <c r="AE183" i="8"/>
  <c r="AD178" i="8"/>
  <c r="Z178" i="8"/>
  <c r="AC178" i="8"/>
  <c r="AB178" i="8"/>
  <c r="AE178" i="8"/>
  <c r="AA178" i="8"/>
  <c r="AB181" i="8"/>
  <c r="AE181" i="8"/>
  <c r="AA181" i="8"/>
  <c r="AD181" i="8"/>
  <c r="Z181" i="8"/>
  <c r="AC181" i="8"/>
  <c r="AQ173" i="8"/>
  <c r="P45" i="8"/>
  <c r="Q45" i="8"/>
  <c r="AQ174" i="8"/>
  <c r="AD180" i="8"/>
  <c r="AC180" i="8"/>
  <c r="AB180" i="8"/>
  <c r="AE180" i="8"/>
  <c r="Z182" i="8"/>
  <c r="Z180" i="8"/>
  <c r="Z183" i="8"/>
  <c r="Z179" i="8"/>
  <c r="AD179" i="8"/>
  <c r="AC179" i="8"/>
  <c r="AB179" i="8"/>
  <c r="AE179" i="8"/>
  <c r="AA182" i="8"/>
  <c r="AQ170" i="8"/>
  <c r="J45" i="8"/>
  <c r="E291" i="8"/>
  <c r="E289" i="8"/>
  <c r="AA179" i="8"/>
  <c r="AA183" i="8"/>
  <c r="AI182" i="8" l="1"/>
  <c r="N46" i="8" s="1"/>
  <c r="AP182" i="8"/>
  <c r="AL182" i="8"/>
  <c r="AM182" i="8" s="1"/>
  <c r="Q192" i="8"/>
  <c r="C189" i="8"/>
  <c r="AY244" i="8" s="1"/>
  <c r="F192" i="8"/>
  <c r="AZ245" i="8" s="1"/>
  <c r="N189" i="8"/>
  <c r="C192" i="8"/>
  <c r="AY245" i="8" s="1"/>
  <c r="Q189" i="8"/>
  <c r="F189" i="8"/>
  <c r="AZ244" i="8" s="1"/>
  <c r="N192" i="8"/>
  <c r="AI179" i="8"/>
  <c r="H46" i="8" s="1"/>
  <c r="AP179" i="8"/>
  <c r="AL179" i="8"/>
  <c r="AM179" i="8" s="1"/>
  <c r="AI181" i="8"/>
  <c r="M46" i="8" s="1"/>
  <c r="AP183" i="8"/>
  <c r="AL181" i="8"/>
  <c r="AM181" i="8" s="1"/>
  <c r="P191" i="8"/>
  <c r="M191" i="8"/>
  <c r="P188" i="8"/>
  <c r="M188" i="8"/>
  <c r="AA188" i="8" s="1"/>
  <c r="AA191" i="8"/>
  <c r="AL183" i="8"/>
  <c r="AM183" i="8" s="1"/>
  <c r="AI183" i="8"/>
  <c r="O46" i="8" s="1"/>
  <c r="AL178" i="8"/>
  <c r="AM178" i="8" s="1"/>
  <c r="AP180" i="8"/>
  <c r="AP178" i="8"/>
  <c r="AQ178" i="8" s="1"/>
  <c r="AI178" i="8"/>
  <c r="G46" i="8" s="1"/>
  <c r="E192" i="8"/>
  <c r="E245" i="8" s="1"/>
  <c r="B192" i="8"/>
  <c r="AX245" i="8" s="1"/>
  <c r="F191" i="8"/>
  <c r="AZ198" i="8" s="1"/>
  <c r="F190" i="8"/>
  <c r="AZ197" i="8" s="1"/>
  <c r="P189" i="8"/>
  <c r="D189" i="8"/>
  <c r="D244" i="8" s="1"/>
  <c r="A189" i="8"/>
  <c r="AW244" i="8" s="1"/>
  <c r="A192" i="8"/>
  <c r="AW245" i="8" s="1"/>
  <c r="E295" i="8" s="1"/>
  <c r="M189" i="8"/>
  <c r="Q188" i="8"/>
  <c r="C188" i="8"/>
  <c r="AY243" i="8" s="1"/>
  <c r="F187" i="8"/>
  <c r="AZ242" i="8" s="1"/>
  <c r="P192" i="8"/>
  <c r="D192" i="8"/>
  <c r="D245" i="8" s="1"/>
  <c r="Q191" i="8"/>
  <c r="C191" i="8"/>
  <c r="AY198" i="8" s="1"/>
  <c r="C190" i="8"/>
  <c r="AY197" i="8" s="1"/>
  <c r="E189" i="8"/>
  <c r="E244" i="8" s="1"/>
  <c r="B189" i="8"/>
  <c r="AX244" i="8" s="1"/>
  <c r="N188" i="8"/>
  <c r="M192" i="8"/>
  <c r="N191" i="8"/>
  <c r="F188" i="8"/>
  <c r="AZ243" i="8" s="1"/>
  <c r="C187" i="8"/>
  <c r="AY242" i="8" s="1"/>
  <c r="AI180" i="8"/>
  <c r="I46" i="8" s="1"/>
  <c r="AL180" i="8"/>
  <c r="AM180" i="8" s="1"/>
  <c r="W191" i="8"/>
  <c r="V190" i="8"/>
  <c r="T188" i="8"/>
  <c r="S187" i="8"/>
  <c r="E190" i="8"/>
  <c r="E197" i="8" s="1"/>
  <c r="B190" i="8"/>
  <c r="AX197" i="8" s="1"/>
  <c r="D191" i="8"/>
  <c r="D198" i="8" s="1"/>
  <c r="A191" i="8"/>
  <c r="AW198" i="8" s="1"/>
  <c r="D188" i="8"/>
  <c r="D243" i="8" s="1"/>
  <c r="A188" i="8"/>
  <c r="AW243" i="8" s="1"/>
  <c r="E293" i="8" s="1"/>
  <c r="D187" i="8"/>
  <c r="D242" i="8" s="1"/>
  <c r="L187" i="8"/>
  <c r="O190" i="8"/>
  <c r="D190" i="8"/>
  <c r="D197" i="8" s="1"/>
  <c r="A190" i="8"/>
  <c r="AW197" i="8" s="1"/>
  <c r="A187" i="8"/>
  <c r="AW242" i="8" s="1"/>
  <c r="E187" i="8"/>
  <c r="E242" i="8" s="1"/>
  <c r="O187" i="8"/>
  <c r="E191" i="8"/>
  <c r="E198" i="8" s="1"/>
  <c r="B191" i="8"/>
  <c r="AX198" i="8" s="1"/>
  <c r="L190" i="8"/>
  <c r="E188" i="8"/>
  <c r="E243" i="8" s="1"/>
  <c r="B188" i="8"/>
  <c r="AX243" i="8" s="1"/>
  <c r="B187" i="8"/>
  <c r="AX242" i="8" s="1"/>
  <c r="AD192" i="8" l="1"/>
  <c r="AC192" i="8"/>
  <c r="AB192" i="8"/>
  <c r="AE192" i="8"/>
  <c r="AD189" i="8"/>
  <c r="AC189" i="8"/>
  <c r="AB189" i="8"/>
  <c r="AE189" i="8"/>
  <c r="AA189" i="8"/>
  <c r="AQ183" i="8"/>
  <c r="Q46" i="8"/>
  <c r="AC191" i="8"/>
  <c r="AB191" i="8"/>
  <c r="AE191" i="8"/>
  <c r="AD191" i="8"/>
  <c r="AB190" i="8"/>
  <c r="AE190" i="8"/>
  <c r="AA190" i="8"/>
  <c r="AD190" i="8"/>
  <c r="Z190" i="8"/>
  <c r="AC190" i="8"/>
  <c r="E294" i="8"/>
  <c r="L10" i="8"/>
  <c r="M10" i="8" s="1"/>
  <c r="H18" i="8"/>
  <c r="I18" i="8" s="1"/>
  <c r="L7" i="8"/>
  <c r="M7" i="8" s="1"/>
  <c r="H25" i="8"/>
  <c r="I25" i="8" s="1"/>
  <c r="P8" i="8"/>
  <c r="Q8" i="8" s="1"/>
  <c r="L24" i="8"/>
  <c r="M24" i="8" s="1"/>
  <c r="H13" i="8"/>
  <c r="I13" i="8" s="1"/>
  <c r="H15" i="8"/>
  <c r="I15" i="8" s="1"/>
  <c r="L25" i="8"/>
  <c r="M25" i="8" s="1"/>
  <c r="H8" i="8"/>
  <c r="I8" i="8" s="1"/>
  <c r="P13" i="8"/>
  <c r="Q13" i="8" s="1"/>
  <c r="L12" i="8"/>
  <c r="M12" i="8" s="1"/>
  <c r="L11" i="8"/>
  <c r="M11" i="8" s="1"/>
  <c r="H14" i="8"/>
  <c r="I14" i="8" s="1"/>
  <c r="L15" i="8"/>
  <c r="M15" i="8" s="1"/>
  <c r="L19" i="8"/>
  <c r="M19" i="8" s="1"/>
  <c r="L17" i="8"/>
  <c r="M17" i="8" s="1"/>
  <c r="H23" i="8"/>
  <c r="I23" i="8" s="1"/>
  <c r="H7" i="8"/>
  <c r="I7" i="8" s="1"/>
  <c r="P15" i="8"/>
  <c r="Q15" i="8" s="1"/>
  <c r="L8" i="8"/>
  <c r="M8" i="8" s="1"/>
  <c r="P11" i="8"/>
  <c r="Q11" i="8" s="1"/>
  <c r="L22" i="8"/>
  <c r="M22" i="8" s="1"/>
  <c r="P7" i="8"/>
  <c r="Q7" i="8" s="1"/>
  <c r="H11" i="8"/>
  <c r="I11" i="8" s="1"/>
  <c r="L23" i="8"/>
  <c r="M23" i="8" s="1"/>
  <c r="H12" i="8"/>
  <c r="I12" i="8" s="1"/>
  <c r="L9" i="8"/>
  <c r="M9" i="8" s="1"/>
  <c r="L20" i="8"/>
  <c r="M20" i="8" s="1"/>
  <c r="P9" i="8"/>
  <c r="Q9" i="8" s="1"/>
  <c r="H16" i="8"/>
  <c r="I16" i="8" s="1"/>
  <c r="H17" i="8"/>
  <c r="I17" i="8" s="1"/>
  <c r="L16" i="8"/>
  <c r="M16" i="8" s="1"/>
  <c r="H24" i="8"/>
  <c r="I24" i="8" s="1"/>
  <c r="L13" i="8"/>
  <c r="M13" i="8" s="1"/>
  <c r="L18" i="8"/>
  <c r="M18" i="8" s="1"/>
  <c r="L21" i="8"/>
  <c r="M21" i="8" s="1"/>
  <c r="L14" i="8"/>
  <c r="M14" i="8" s="1"/>
  <c r="H9" i="8"/>
  <c r="I9" i="8" s="1"/>
  <c r="H19" i="8"/>
  <c r="I19" i="8" s="1"/>
  <c r="P10" i="8"/>
  <c r="Q10" i="8" s="1"/>
  <c r="H21" i="8"/>
  <c r="I21" i="8" s="1"/>
  <c r="H20" i="8"/>
  <c r="I20" i="8" s="1"/>
  <c r="H10" i="8"/>
  <c r="I10" i="8" s="1"/>
  <c r="H22" i="8"/>
  <c r="I22" i="8" s="1"/>
  <c r="P12" i="8"/>
  <c r="Q12" i="8" s="1"/>
  <c r="P14" i="8"/>
  <c r="Q14" i="8" s="1"/>
  <c r="AQ182" i="8"/>
  <c r="P46" i="8"/>
  <c r="E292" i="8"/>
  <c r="D3" i="8"/>
  <c r="AC187" i="8"/>
  <c r="AB187" i="8"/>
  <c r="AE187" i="8"/>
  <c r="AA187" i="8"/>
  <c r="AD187" i="8"/>
  <c r="Z187" i="8"/>
  <c r="Z191" i="8"/>
  <c r="Z189" i="8"/>
  <c r="Z192" i="8"/>
  <c r="Z188" i="8"/>
  <c r="AQ180" i="8"/>
  <c r="K46" i="8"/>
  <c r="AA192" i="8"/>
  <c r="AC188" i="8"/>
  <c r="AB188" i="8"/>
  <c r="AE188" i="8"/>
  <c r="AD188" i="8"/>
  <c r="AQ179" i="8"/>
  <c r="J46" i="8"/>
  <c r="AP192" i="8" l="1"/>
  <c r="AL190" i="8"/>
  <c r="AM190" i="8" s="1"/>
  <c r="AI190" i="8"/>
  <c r="M47" i="8" s="1"/>
  <c r="AL189" i="8"/>
  <c r="AM189" i="8" s="1"/>
  <c r="AI189" i="8"/>
  <c r="I47" i="8" s="1"/>
  <c r="AP191" i="8"/>
  <c r="AL191" i="8"/>
  <c r="AM191" i="8" s="1"/>
  <c r="AI191" i="8"/>
  <c r="N47" i="8" s="1"/>
  <c r="AP188" i="8"/>
  <c r="AL188" i="8"/>
  <c r="AM188" i="8" s="1"/>
  <c r="AI188" i="8"/>
  <c r="H47" i="8" s="1"/>
  <c r="AP189" i="8"/>
  <c r="AP187" i="8"/>
  <c r="AQ187" i="8" s="1"/>
  <c r="AI187" i="8"/>
  <c r="G47" i="8" s="1"/>
  <c r="AL187" i="8"/>
  <c r="AM187" i="8" s="1"/>
  <c r="AI192" i="8"/>
  <c r="O47" i="8" s="1"/>
  <c r="AL192" i="8"/>
  <c r="AM192" i="8" s="1"/>
  <c r="K47" i="8" l="1"/>
  <c r="AQ189" i="8"/>
  <c r="P47" i="8"/>
  <c r="AQ191" i="8"/>
  <c r="J47" i="8"/>
  <c r="AQ188" i="8"/>
  <c r="Q47" i="8"/>
  <c r="AQ192" i="8"/>
</calcChain>
</file>

<file path=xl/comments1.xml><?xml version="1.0" encoding="utf-8"?>
<comments xmlns="http://schemas.openxmlformats.org/spreadsheetml/2006/main">
  <authors>
    <author>Administrator</author>
    <author>Dear User!</author>
  </authors>
  <commentList>
    <comment ref="A10" authorId="0" shapeId="0">
      <text>
        <r>
          <rPr>
            <b/>
            <sz val="8"/>
            <color indexed="81"/>
            <rFont val="Tahoma"/>
            <family val="2"/>
          </rPr>
          <t>Force in each member</t>
        </r>
      </text>
    </comment>
    <comment ref="B14" authorId="1" shapeId="0">
      <text>
        <r>
          <rPr>
            <b/>
            <sz val="10"/>
            <color indexed="81"/>
            <rFont val="Tahoma"/>
            <family val="2"/>
          </rPr>
          <t>work-energy method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8"/>
            <color indexed="81"/>
            <rFont val="Tahoma"/>
            <family val="2"/>
          </rPr>
          <t>∆ Base on energy method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Dear User!</author>
    <author>MRT</author>
    <author>Ghashghaei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A(min)-cm^2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A(max)-cm^2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9" authorId="1" shapeId="0">
      <text>
        <r>
          <rPr>
            <b/>
            <sz val="10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9" authorId="1" shapeId="0">
      <text>
        <r>
          <rPr>
            <b/>
            <sz val="8"/>
            <color indexed="81"/>
            <rFont val="Tahoma"/>
            <family val="2"/>
          </rPr>
          <t>Kg/cm^2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9" authorId="1" shapeId="0">
      <text>
        <r>
          <rPr>
            <b/>
            <sz val="8"/>
            <color indexed="81"/>
            <rFont val="Tahoma"/>
            <family val="2"/>
          </rPr>
          <t>Kg/cm^2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8"/>
            <color indexed="81"/>
            <rFont val="Tahoma"/>
            <family val="2"/>
          </rPr>
          <t>Kg</t>
        </r>
      </text>
    </comment>
    <comment ref="N19" authorId="2" shapeId="0">
      <text>
        <r>
          <rPr>
            <b/>
            <sz val="8"/>
            <color indexed="81"/>
            <rFont val="Arial Black"/>
            <family val="2"/>
          </rPr>
          <t>Factor of safety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8"/>
            <color indexed="81"/>
            <rFont val="Tahoma"/>
            <family val="2"/>
          </rPr>
          <t>(P/A)/(</t>
        </r>
        <r>
          <rPr>
            <b/>
            <sz val="8"/>
            <color indexed="81"/>
            <rFont val="Arial"/>
            <family val="2"/>
          </rPr>
          <t>Φfy)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8"/>
            <color indexed="81"/>
            <rFont val="Tahoma"/>
            <family val="2"/>
          </rPr>
          <t>Ton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9" authorId="1" shapeId="0">
      <text>
        <r>
          <rPr>
            <b/>
            <sz val="8"/>
            <color indexed="81"/>
            <rFont val="Tahoma"/>
            <family val="2"/>
          </rPr>
          <t>Ton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9" authorId="1" shapeId="0">
      <text>
        <r>
          <rPr>
            <b/>
            <sz val="8"/>
            <color indexed="81"/>
            <rFont val="Tahoma"/>
            <family val="2"/>
          </rPr>
          <t>cm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9" authorId="1" shapeId="0">
      <text>
        <r>
          <rPr>
            <b/>
            <sz val="8"/>
            <color indexed="81"/>
            <rFont val="Tahoma"/>
            <family val="2"/>
          </rPr>
          <t>cm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8"/>
            <color indexed="81"/>
            <rFont val="Tahoma"/>
            <family val="2"/>
          </rPr>
          <t>Kg/cm^2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8" authorId="2" shapeId="0">
      <text>
        <r>
          <rPr>
            <b/>
            <sz val="8"/>
            <color indexed="81"/>
            <rFont val="Tahoma"/>
            <family val="2"/>
          </rPr>
          <t>Stiffness matrix of member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4" authorId="2" shapeId="0">
      <text>
        <r>
          <rPr>
            <b/>
            <sz val="8"/>
            <color indexed="81"/>
            <rFont val="Tahoma"/>
            <family val="2"/>
          </rPr>
          <t>Stiffness matrix of member 2</t>
        </r>
      </text>
    </comment>
    <comment ref="E40" authorId="2" shapeId="0">
      <text>
        <r>
          <rPr>
            <b/>
            <sz val="8"/>
            <color indexed="81"/>
            <rFont val="Tahoma"/>
            <family val="2"/>
          </rPr>
          <t>Stiffness matrix of member 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Dear User!</author>
  </authors>
  <commentLis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Target Function
</t>
        </r>
      </text>
    </comment>
    <comment ref="B4" authorId="0" shapeId="0">
      <text>
        <r>
          <rPr>
            <b/>
            <sz val="8"/>
            <color indexed="81"/>
            <rFont val="Tahoma"/>
            <family val="2"/>
          </rPr>
          <t xml:space="preserve">X1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8"/>
            <color indexed="81"/>
            <rFont val="Tahoma"/>
            <family val="2"/>
          </rPr>
          <t>X2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Checking the result(X1)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Checking the result(X2)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8" authorId="0" shapeId="0">
      <text>
        <r>
          <rPr>
            <b/>
            <sz val="8"/>
            <color indexed="81"/>
            <rFont val="Tahoma"/>
            <family val="2"/>
          </rPr>
          <t>target Function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Dear User!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براي رسيدن به جواب بهينه از حداقل ابعاد داده شده در پايين استفاده شود.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عرض ورق سخت كننده فشاري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ضخامت ورق سخت كننده فشاري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فاصله سخت كنننده مياني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عرض سخت كننده مياني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</rPr>
          <t>ضخامت سخت كننده مياني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طول مهار نشده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11"/>
            <color indexed="81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f x </t>
        </r>
        <r>
          <rPr>
            <b/>
            <sz val="11"/>
            <color indexed="81"/>
            <rFont val="Tahoma"/>
            <family val="2"/>
          </rPr>
          <t>t</t>
        </r>
        <r>
          <rPr>
            <b/>
            <sz val="8"/>
            <color indexed="81"/>
            <rFont val="Tahoma"/>
            <family val="2"/>
          </rPr>
          <t>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0"/>
            <color indexed="81"/>
            <rFont val="Tahoma"/>
            <family val="2"/>
          </rPr>
          <t>K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7" authorId="0" shapeId="0">
      <text>
        <r>
          <rPr>
            <b/>
            <sz val="12"/>
            <color indexed="81"/>
            <rFont val="Tahoma"/>
            <family val="2"/>
          </rPr>
          <t>σ=f</t>
        </r>
        <r>
          <rPr>
            <b/>
            <sz val="10"/>
            <color indexed="81"/>
            <rFont val="Tahoma"/>
            <family val="2"/>
          </rPr>
          <t>a</t>
        </r>
        <r>
          <rPr>
            <b/>
            <sz val="12"/>
            <color indexed="81"/>
            <rFont val="Tahoma"/>
            <family val="2"/>
          </rPr>
          <t>=</t>
        </r>
        <r>
          <rPr>
            <b/>
            <sz val="10"/>
            <color indexed="81"/>
            <rFont val="Tahoma"/>
            <family val="2"/>
          </rPr>
          <t>M</t>
        </r>
        <r>
          <rPr>
            <b/>
            <sz val="8"/>
            <color indexed="81"/>
            <rFont val="Tahoma"/>
            <family val="2"/>
          </rPr>
          <t>max/</t>
        </r>
        <r>
          <rPr>
            <b/>
            <sz val="10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795/(Fy)^0.5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7" authorId="0" shapeId="0">
      <text>
        <r>
          <rPr>
            <b/>
            <sz val="11"/>
            <color indexed="81"/>
            <rFont val="Tahoma"/>
            <family val="2"/>
          </rPr>
          <t>V</t>
        </r>
        <r>
          <rPr>
            <b/>
            <sz val="8"/>
            <color indexed="81"/>
            <rFont val="Tahoma"/>
            <family val="2"/>
          </rPr>
          <t>max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4" authorId="0" shapeId="0">
      <text>
        <r>
          <rPr>
            <b/>
            <sz val="10"/>
            <color indexed="81"/>
            <rFont val="Tahoma"/>
            <family val="2"/>
          </rPr>
          <t>F</t>
        </r>
        <r>
          <rPr>
            <b/>
            <sz val="8"/>
            <color indexed="81"/>
            <rFont val="Tahoma"/>
            <family val="2"/>
          </rPr>
          <t>v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8" authorId="0" shapeId="0">
      <text>
        <r>
          <rPr>
            <b/>
            <sz val="10"/>
            <color indexed="81"/>
            <rFont val="Tahoma"/>
            <family val="2"/>
          </rPr>
          <t>A</t>
        </r>
        <r>
          <rPr>
            <b/>
            <sz val="8"/>
            <color indexed="81"/>
            <rFont val="Tahoma"/>
            <family val="2"/>
          </rPr>
          <t>min/2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0" authorId="0" shapeId="0">
      <text>
        <r>
          <rPr>
            <b/>
            <sz val="8"/>
            <color indexed="81"/>
            <rFont val="Tahoma"/>
            <family val="2"/>
          </rPr>
          <t>795/(Fy)^0.5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2" authorId="0" shapeId="0">
      <text>
        <r>
          <rPr>
            <b/>
            <sz val="8"/>
            <color indexed="81"/>
            <rFont val="Tahoma"/>
            <family val="2"/>
          </rPr>
          <t>(h/50)^4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Dear User!</author>
    <author>MRT</author>
    <author>Ghashghaei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A(min)-cm^2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A(max)-cm^2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5" authorId="0" shapeId="0">
      <text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0" authorId="1" shapeId="0">
      <text>
        <r>
          <rPr>
            <b/>
            <sz val="10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0" authorId="1" shapeId="0">
      <text>
        <r>
          <rPr>
            <b/>
            <sz val="8"/>
            <color indexed="81"/>
            <rFont val="Tahoma"/>
            <family val="2"/>
          </rPr>
          <t>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0" authorId="1" shapeId="0">
      <text>
        <r>
          <rPr>
            <b/>
            <sz val="8"/>
            <color indexed="81"/>
            <rFont val="Tahoma"/>
            <family val="2"/>
          </rPr>
          <t>Kg/cm^2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0" authorId="1" shapeId="0">
      <text>
        <r>
          <rPr>
            <b/>
            <sz val="8"/>
            <color indexed="81"/>
            <rFont val="Tahoma"/>
            <family val="2"/>
          </rPr>
          <t>Kg/cm^2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0" authorId="1" shapeId="0">
      <text>
        <r>
          <rPr>
            <b/>
            <sz val="8"/>
            <color indexed="81"/>
            <rFont val="Tahoma"/>
            <family val="2"/>
          </rPr>
          <t>Kg</t>
        </r>
      </text>
    </comment>
    <comment ref="N30" authorId="2" shapeId="0">
      <text>
        <r>
          <rPr>
            <b/>
            <sz val="8"/>
            <color indexed="81"/>
            <rFont val="Arial Black"/>
            <family val="2"/>
          </rPr>
          <t>Factor of safety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8"/>
            <color indexed="81"/>
            <rFont val="Tahoma"/>
            <family val="2"/>
          </rPr>
          <t>(P/A)/(</t>
        </r>
        <r>
          <rPr>
            <b/>
            <sz val="8"/>
            <color indexed="81"/>
            <rFont val="Arial"/>
            <family val="2"/>
          </rPr>
          <t>Φfy)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30" authorId="1" shapeId="0">
      <text>
        <r>
          <rPr>
            <b/>
            <sz val="8"/>
            <color indexed="81"/>
            <rFont val="Tahoma"/>
            <family val="2"/>
          </rPr>
          <t>Ton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30" authorId="1" shapeId="0">
      <text>
        <r>
          <rPr>
            <b/>
            <sz val="8"/>
            <color indexed="81"/>
            <rFont val="Tahoma"/>
            <family val="2"/>
          </rPr>
          <t>Ton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30" authorId="1" shapeId="0">
      <text>
        <r>
          <rPr>
            <b/>
            <sz val="8"/>
            <color indexed="81"/>
            <rFont val="Tahoma"/>
            <family val="2"/>
          </rPr>
          <t>cm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30" authorId="1" shapeId="0">
      <text>
        <r>
          <rPr>
            <b/>
            <sz val="8"/>
            <color indexed="81"/>
            <rFont val="Tahoma"/>
            <family val="2"/>
          </rPr>
          <t>cm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8"/>
            <color indexed="81"/>
            <rFont val="Tahoma"/>
            <family val="2"/>
          </rPr>
          <t>Kg/cm^2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6" authorId="2" shapeId="0">
      <text>
        <r>
          <rPr>
            <b/>
            <sz val="8"/>
            <color indexed="81"/>
            <rFont val="Tahoma"/>
            <family val="2"/>
          </rPr>
          <t>Stiffness matrix of member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2" authorId="2" shapeId="0">
      <text>
        <r>
          <rPr>
            <b/>
            <sz val="8"/>
            <color indexed="81"/>
            <rFont val="Tahoma"/>
            <family val="2"/>
          </rPr>
          <t>Stiffness matrix of member 2</t>
        </r>
      </text>
    </comment>
    <comment ref="E58" authorId="2" shapeId="0">
      <text>
        <r>
          <rPr>
            <b/>
            <sz val="8"/>
            <color indexed="81"/>
            <rFont val="Tahoma"/>
            <family val="2"/>
          </rPr>
          <t>Stiffness matrix of member 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22" authorId="0" shapeId="0">
      <text>
        <r>
          <rPr>
            <b/>
            <sz val="10"/>
            <color indexed="81"/>
            <rFont val="Tahoma"/>
            <family val="2"/>
          </rPr>
          <t>Equilibrium in Joints-1
X-axis</t>
        </r>
      </text>
    </comment>
  </commentList>
</comments>
</file>

<file path=xl/sharedStrings.xml><?xml version="1.0" encoding="utf-8"?>
<sst xmlns="http://schemas.openxmlformats.org/spreadsheetml/2006/main" count="934" uniqueCount="389">
  <si>
    <t>W=</t>
  </si>
  <si>
    <t>L=</t>
  </si>
  <si>
    <t>Fb=</t>
  </si>
  <si>
    <t>E=</t>
  </si>
  <si>
    <t>b=</t>
  </si>
  <si>
    <t>h=</t>
  </si>
  <si>
    <t>Fv</t>
  </si>
  <si>
    <t>Z=</t>
  </si>
  <si>
    <t>b(min)=</t>
  </si>
  <si>
    <t>b(max)=</t>
  </si>
  <si>
    <t>h(min)=</t>
  </si>
  <si>
    <t>h(max)=</t>
  </si>
  <si>
    <t>if using b(max)=50 and h(max)=100 then we have well dimention</t>
  </si>
  <si>
    <t>A=</t>
  </si>
  <si>
    <t>Fy=</t>
  </si>
  <si>
    <t>z=</t>
  </si>
  <si>
    <t>A(min)=</t>
  </si>
  <si>
    <t>A(max)=</t>
  </si>
  <si>
    <t>2K</t>
  </si>
  <si>
    <t>∆</t>
  </si>
  <si>
    <t>0.6Fy</t>
  </si>
  <si>
    <t>P1=</t>
  </si>
  <si>
    <t>P1/(0.6Fy)</t>
  </si>
  <si>
    <t>∆=(0.6Fy*A)/(2k)</t>
  </si>
  <si>
    <t>d=</t>
  </si>
  <si>
    <t>t1=</t>
  </si>
  <si>
    <t>t2=</t>
  </si>
  <si>
    <t>Y=</t>
  </si>
  <si>
    <t>h/(t2)=</t>
  </si>
  <si>
    <t>b/(2*t1)=</t>
  </si>
  <si>
    <t>I=</t>
  </si>
  <si>
    <t>t1(min)=</t>
  </si>
  <si>
    <t>t1(max)=</t>
  </si>
  <si>
    <t>t2(min)=</t>
  </si>
  <si>
    <t>t2(max)=</t>
  </si>
  <si>
    <t>d-12*t2</t>
  </si>
  <si>
    <t>d(min)=</t>
  </si>
  <si>
    <t>d(max)=</t>
  </si>
  <si>
    <r>
      <t>A</t>
    </r>
    <r>
      <rPr>
        <b/>
        <vertAlign val="subscript"/>
        <sz val="11"/>
        <color indexed="8"/>
        <rFont val="Calibri"/>
        <family val="2"/>
      </rPr>
      <t>f</t>
    </r>
  </si>
  <si>
    <r>
      <t>V</t>
    </r>
    <r>
      <rPr>
        <b/>
        <vertAlign val="subscript"/>
        <sz val="11"/>
        <color indexed="8"/>
        <rFont val="Calibri"/>
        <family val="2"/>
      </rPr>
      <t>max</t>
    </r>
  </si>
  <si>
    <r>
      <t>M</t>
    </r>
    <r>
      <rPr>
        <b/>
        <vertAlign val="subscript"/>
        <sz val="11"/>
        <color indexed="8"/>
        <rFont val="Calibri"/>
        <family val="2"/>
      </rPr>
      <t>max</t>
    </r>
  </si>
  <si>
    <r>
      <t>B</t>
    </r>
    <r>
      <rPr>
        <b/>
        <vertAlign val="subscript"/>
        <sz val="11"/>
        <color indexed="8"/>
        <rFont val="Calibri"/>
        <family val="2"/>
      </rPr>
      <t>f</t>
    </r>
    <r>
      <rPr>
        <b/>
        <sz val="11"/>
        <color indexed="8"/>
        <rFont val="Calibri"/>
        <family val="2"/>
      </rPr>
      <t>/2t</t>
    </r>
    <r>
      <rPr>
        <b/>
        <vertAlign val="subscript"/>
        <sz val="11"/>
        <color indexed="8"/>
        <rFont val="Calibri"/>
        <family val="2"/>
      </rPr>
      <t>f</t>
    </r>
  </si>
  <si>
    <t>با فرض نياز به سخت كننده فشاري در تكيه گاه</t>
  </si>
  <si>
    <t>bs=</t>
  </si>
  <si>
    <t>ts=</t>
  </si>
  <si>
    <r>
      <t>B</t>
    </r>
    <r>
      <rPr>
        <b/>
        <vertAlign val="subscript"/>
        <sz val="11"/>
        <color indexed="8"/>
        <rFont val="Calibri"/>
        <family val="2"/>
      </rPr>
      <t>s</t>
    </r>
    <r>
      <rPr>
        <b/>
        <sz val="11"/>
        <color indexed="8"/>
        <rFont val="Calibri"/>
        <family val="2"/>
      </rPr>
      <t>/t</t>
    </r>
    <r>
      <rPr>
        <b/>
        <vertAlign val="subscript"/>
        <sz val="11"/>
        <color indexed="8"/>
        <rFont val="Calibri"/>
        <family val="2"/>
      </rPr>
      <t>s</t>
    </r>
  </si>
  <si>
    <t>معيار پايداري ستون</t>
  </si>
  <si>
    <t>A</t>
  </si>
  <si>
    <r>
      <t>I</t>
    </r>
    <r>
      <rPr>
        <b/>
        <vertAlign val="subscript"/>
        <sz val="12"/>
        <color indexed="8"/>
        <rFont val="Calibri"/>
        <family val="2"/>
      </rPr>
      <t>s</t>
    </r>
  </si>
  <si>
    <t>r</t>
  </si>
  <si>
    <t>0.75h/r</t>
  </si>
  <si>
    <t>Cc</t>
  </si>
  <si>
    <t>Fa</t>
  </si>
  <si>
    <t>Pa</t>
  </si>
  <si>
    <t>تعيين فواصل سخت كننده مياني</t>
  </si>
  <si>
    <t>با در نظر گرفتن اثر ميدان كششي براي تنش برشي مجاز</t>
  </si>
  <si>
    <t>a=</t>
  </si>
  <si>
    <r>
      <t>C</t>
    </r>
    <r>
      <rPr>
        <b/>
        <vertAlign val="subscript"/>
        <sz val="14"/>
        <color indexed="8"/>
        <rFont val="Calibri"/>
        <family val="2"/>
      </rPr>
      <t>v</t>
    </r>
  </si>
  <si>
    <t>K</t>
  </si>
  <si>
    <r>
      <t>F</t>
    </r>
    <r>
      <rPr>
        <b/>
        <vertAlign val="subscript"/>
        <sz val="11"/>
        <color indexed="8"/>
        <rFont val="Calibri"/>
        <family val="2"/>
      </rPr>
      <t>V</t>
    </r>
  </si>
  <si>
    <r>
      <t>f</t>
    </r>
    <r>
      <rPr>
        <b/>
        <vertAlign val="subscript"/>
        <sz val="12"/>
        <color indexed="8"/>
        <rFont val="Calibri"/>
        <family val="2"/>
      </rPr>
      <t>V</t>
    </r>
  </si>
  <si>
    <t>محاسبه ابعاد سخت كننده مياني</t>
  </si>
  <si>
    <r>
      <t>b</t>
    </r>
    <r>
      <rPr>
        <b/>
        <vertAlign val="subscript"/>
        <sz val="11"/>
        <color indexed="8"/>
        <rFont val="Calibri"/>
        <family val="2"/>
      </rPr>
      <t>st</t>
    </r>
  </si>
  <si>
    <r>
      <t>t</t>
    </r>
    <r>
      <rPr>
        <b/>
        <vertAlign val="subscript"/>
        <sz val="11"/>
        <color indexed="8"/>
        <rFont val="Calibri"/>
        <family val="2"/>
      </rPr>
      <t>st</t>
    </r>
  </si>
  <si>
    <r>
      <t>A</t>
    </r>
    <r>
      <rPr>
        <b/>
        <vertAlign val="subscript"/>
        <sz val="11"/>
        <color indexed="8"/>
        <rFont val="Calibri"/>
        <family val="2"/>
      </rPr>
      <t>st</t>
    </r>
  </si>
  <si>
    <r>
      <t>A</t>
    </r>
    <r>
      <rPr>
        <b/>
        <vertAlign val="subscript"/>
        <sz val="11"/>
        <color indexed="8"/>
        <rFont val="Calibri"/>
        <family val="2"/>
      </rPr>
      <t>min</t>
    </r>
  </si>
  <si>
    <t>كنترل مساحت سخت كننده</t>
  </si>
  <si>
    <t>كنترل نسبت عرض به ضخامت</t>
  </si>
  <si>
    <r>
      <t>B</t>
    </r>
    <r>
      <rPr>
        <b/>
        <vertAlign val="sub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>/t</t>
    </r>
    <r>
      <rPr>
        <b/>
        <vertAlign val="subscript"/>
        <sz val="11"/>
        <color indexed="8"/>
        <rFont val="Calibri"/>
        <family val="2"/>
      </rPr>
      <t>st</t>
    </r>
  </si>
  <si>
    <t>معيار سختي</t>
  </si>
  <si>
    <t>هدف: كم كردن وزن</t>
  </si>
  <si>
    <r>
      <t>t</t>
    </r>
    <r>
      <rPr>
        <b/>
        <sz val="8"/>
        <color indexed="8"/>
        <rFont val="Arial"/>
        <family val="2"/>
      </rPr>
      <t>st</t>
    </r>
    <r>
      <rPr>
        <b/>
        <sz val="11"/>
        <color indexed="8"/>
        <rFont val="Arial"/>
        <family val="2"/>
      </rPr>
      <t>(min)=</t>
    </r>
  </si>
  <si>
    <r>
      <t>b</t>
    </r>
    <r>
      <rPr>
        <b/>
        <sz val="8"/>
        <color indexed="8"/>
        <rFont val="Arial"/>
        <family val="2"/>
      </rPr>
      <t>st</t>
    </r>
    <r>
      <rPr>
        <b/>
        <sz val="11"/>
        <color indexed="8"/>
        <rFont val="Arial"/>
        <family val="2"/>
      </rPr>
      <t>(min)=</t>
    </r>
  </si>
  <si>
    <t>a(min)=</t>
  </si>
  <si>
    <t>a(max)=</t>
  </si>
  <si>
    <r>
      <t>t</t>
    </r>
    <r>
      <rPr>
        <b/>
        <sz val="8"/>
        <color indexed="8"/>
        <rFont val="Arial"/>
        <family val="2"/>
      </rPr>
      <t>st</t>
    </r>
    <r>
      <rPr>
        <b/>
        <sz val="11"/>
        <color indexed="8"/>
        <rFont val="Arial"/>
        <family val="2"/>
      </rPr>
      <t>(max)=</t>
    </r>
  </si>
  <si>
    <r>
      <t>b</t>
    </r>
    <r>
      <rPr>
        <b/>
        <sz val="8"/>
        <color indexed="8"/>
        <rFont val="Arial"/>
        <family val="2"/>
      </rPr>
      <t>st</t>
    </r>
    <r>
      <rPr>
        <b/>
        <sz val="11"/>
        <color indexed="8"/>
        <rFont val="Arial"/>
        <family val="2"/>
      </rPr>
      <t>(max)=</t>
    </r>
  </si>
  <si>
    <t>a/h</t>
  </si>
  <si>
    <t>با فرض استفاده از سخت كننده در فواصل كمتر 1.5h</t>
  </si>
  <si>
    <t>با فرض عدم كاهش تنش فشاري مجاز بال</t>
  </si>
  <si>
    <t>كنترل تنش برشي</t>
  </si>
  <si>
    <t>تعيين ابعاد ورق بال</t>
  </si>
  <si>
    <t>كنترل تنش خمشي در مقطع حداكثر</t>
  </si>
  <si>
    <t>Cb=</t>
  </si>
  <si>
    <r>
      <t>λ</t>
    </r>
    <r>
      <rPr>
        <vertAlign val="subscript"/>
        <sz val="14"/>
        <color indexed="8"/>
        <rFont val="Arial"/>
        <family val="2"/>
      </rPr>
      <t>B</t>
    </r>
  </si>
  <si>
    <t>λ</t>
  </si>
  <si>
    <r>
      <t>λ</t>
    </r>
    <r>
      <rPr>
        <sz val="12"/>
        <rFont val="Arial"/>
        <family val="2"/>
      </rPr>
      <t>c</t>
    </r>
  </si>
  <si>
    <r>
      <t>F</t>
    </r>
    <r>
      <rPr>
        <b/>
        <vertAlign val="subscript"/>
        <sz val="11"/>
        <color indexed="8"/>
        <rFont val="Calibri"/>
        <family val="2"/>
      </rPr>
      <t>b</t>
    </r>
  </si>
  <si>
    <t>tf(min)=</t>
  </si>
  <si>
    <t>tf(max)=</t>
  </si>
  <si>
    <r>
      <t>t</t>
    </r>
    <r>
      <rPr>
        <b/>
        <sz val="9"/>
        <color indexed="8"/>
        <rFont val="Arial"/>
        <family val="2"/>
      </rPr>
      <t>w</t>
    </r>
    <r>
      <rPr>
        <b/>
        <sz val="11"/>
        <color indexed="8"/>
        <rFont val="Arial"/>
        <family val="2"/>
      </rPr>
      <t>(max)=</t>
    </r>
  </si>
  <si>
    <r>
      <t>t</t>
    </r>
    <r>
      <rPr>
        <b/>
        <sz val="9"/>
        <color indexed="8"/>
        <rFont val="Arial"/>
        <family val="2"/>
      </rPr>
      <t>w</t>
    </r>
    <r>
      <rPr>
        <b/>
        <sz val="11"/>
        <color indexed="8"/>
        <rFont val="Arial"/>
        <family val="2"/>
      </rPr>
      <t>(min)=</t>
    </r>
  </si>
  <si>
    <r>
      <t>t</t>
    </r>
    <r>
      <rPr>
        <b/>
        <sz val="9"/>
        <color indexed="8"/>
        <rFont val="Arial"/>
        <family val="2"/>
      </rPr>
      <t>s</t>
    </r>
    <r>
      <rPr>
        <b/>
        <sz val="11"/>
        <color indexed="8"/>
        <rFont val="Arial"/>
        <family val="2"/>
      </rPr>
      <t>(min)=</t>
    </r>
  </si>
  <si>
    <r>
      <t>t</t>
    </r>
    <r>
      <rPr>
        <b/>
        <sz val="9"/>
        <color indexed="8"/>
        <rFont val="Arial"/>
        <family val="2"/>
      </rPr>
      <t>s</t>
    </r>
    <r>
      <rPr>
        <b/>
        <sz val="11"/>
        <color indexed="8"/>
        <rFont val="Arial"/>
        <family val="2"/>
      </rPr>
      <t>(max)=</t>
    </r>
  </si>
  <si>
    <r>
      <t>b</t>
    </r>
    <r>
      <rPr>
        <b/>
        <sz val="9"/>
        <color indexed="8"/>
        <rFont val="Arial"/>
        <family val="2"/>
      </rPr>
      <t>s</t>
    </r>
    <r>
      <rPr>
        <b/>
        <sz val="11"/>
        <color indexed="8"/>
        <rFont val="Arial"/>
        <family val="2"/>
      </rPr>
      <t>(min)=</t>
    </r>
  </si>
  <si>
    <r>
      <t>b</t>
    </r>
    <r>
      <rPr>
        <b/>
        <sz val="9"/>
        <color indexed="8"/>
        <rFont val="Arial"/>
        <family val="2"/>
      </rPr>
      <t>s</t>
    </r>
    <r>
      <rPr>
        <b/>
        <sz val="11"/>
        <color indexed="8"/>
        <rFont val="Arial"/>
        <family val="2"/>
      </rPr>
      <t>(max)=</t>
    </r>
  </si>
  <si>
    <r>
      <t>(bf/(2*</t>
    </r>
    <r>
      <rPr>
        <b/>
        <sz val="12"/>
        <color indexed="8"/>
        <rFont val="Arial"/>
        <family val="2"/>
      </rPr>
      <t>t</t>
    </r>
    <r>
      <rPr>
        <b/>
        <sz val="11"/>
        <color indexed="8"/>
        <rFont val="Arial"/>
        <family val="2"/>
      </rPr>
      <t>f</t>
    </r>
  </si>
  <si>
    <t>tw=</t>
  </si>
  <si>
    <r>
      <rPr>
        <b/>
        <sz val="12"/>
        <color indexed="8"/>
        <rFont val="Arial"/>
        <family val="2"/>
      </rPr>
      <t>t</t>
    </r>
    <r>
      <rPr>
        <b/>
        <sz val="10"/>
        <color indexed="8"/>
        <rFont val="Arial"/>
        <family val="2"/>
      </rPr>
      <t>f</t>
    </r>
    <r>
      <rPr>
        <b/>
        <sz val="11"/>
        <color indexed="8"/>
        <rFont val="Arial"/>
        <family val="2"/>
      </rPr>
      <t>=</t>
    </r>
  </si>
  <si>
    <r>
      <t>L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=</t>
    </r>
  </si>
  <si>
    <t>hw=</t>
  </si>
  <si>
    <t>hw(min)=</t>
  </si>
  <si>
    <t>hw(max)=</t>
  </si>
  <si>
    <r>
      <t>hw/t</t>
    </r>
    <r>
      <rPr>
        <b/>
        <sz val="9"/>
        <color indexed="8"/>
        <rFont val="Arial"/>
        <family val="2"/>
      </rPr>
      <t>w</t>
    </r>
  </si>
  <si>
    <r>
      <t>hw/t</t>
    </r>
    <r>
      <rPr>
        <b/>
        <sz val="8"/>
        <color indexed="8"/>
        <rFont val="Arial"/>
        <family val="2"/>
      </rPr>
      <t>w</t>
    </r>
  </si>
  <si>
    <r>
      <t>Min(hw/t</t>
    </r>
    <r>
      <rPr>
        <b/>
        <sz val="9"/>
        <color indexed="8"/>
        <rFont val="Arial"/>
        <family val="2"/>
      </rPr>
      <t>w</t>
    </r>
    <r>
      <rPr>
        <b/>
        <sz val="11"/>
        <color indexed="8"/>
        <rFont val="Arial"/>
        <family val="2"/>
        <charset val="178"/>
      </rPr>
      <t>)</t>
    </r>
  </si>
  <si>
    <t>bf(min)=</t>
  </si>
  <si>
    <t>bf(max)=</t>
  </si>
  <si>
    <t>bf=</t>
  </si>
  <si>
    <t>A1=</t>
  </si>
  <si>
    <t>A2=</t>
  </si>
  <si>
    <t>A3=</t>
  </si>
  <si>
    <t>member</t>
  </si>
  <si>
    <t>L</t>
  </si>
  <si>
    <t>start</t>
  </si>
  <si>
    <t>end</t>
  </si>
  <si>
    <t>E</t>
  </si>
  <si>
    <t>Fy</t>
  </si>
  <si>
    <t>P</t>
  </si>
  <si>
    <t>P/A</t>
  </si>
  <si>
    <t>F.S</t>
  </si>
  <si>
    <t>stress ratio</t>
  </si>
  <si>
    <t>x</t>
  </si>
  <si>
    <t>y</t>
  </si>
  <si>
    <t>lanada-x</t>
  </si>
  <si>
    <t>landa-y</t>
  </si>
  <si>
    <t>q1=</t>
  </si>
  <si>
    <t>=</t>
  </si>
  <si>
    <t>Q1</t>
  </si>
  <si>
    <t>Q2</t>
  </si>
  <si>
    <t>Q10</t>
  </si>
  <si>
    <t>D3</t>
  </si>
  <si>
    <t>D5</t>
  </si>
  <si>
    <t>D6</t>
  </si>
  <si>
    <t>node</t>
  </si>
  <si>
    <t>coordinate-X</t>
  </si>
  <si>
    <t>coordinate-Y</t>
  </si>
  <si>
    <t>Px</t>
  </si>
  <si>
    <t>Py</t>
  </si>
  <si>
    <t>Ux</t>
  </si>
  <si>
    <t>Uy</t>
  </si>
  <si>
    <t>Constant</t>
  </si>
  <si>
    <t>Target Function</t>
  </si>
  <si>
    <r>
      <rPr>
        <b/>
        <sz val="11"/>
        <color indexed="9"/>
        <rFont val="Calibri"/>
        <family val="2"/>
      </rPr>
      <t>Δ</t>
    </r>
    <r>
      <rPr>
        <b/>
        <sz val="9.9"/>
        <color indexed="9"/>
        <rFont val="Arial"/>
        <family val="2"/>
        <charset val="178"/>
      </rPr>
      <t>3=</t>
    </r>
  </si>
  <si>
    <r>
      <rPr>
        <b/>
        <sz val="11"/>
        <color indexed="9"/>
        <rFont val="Calibri"/>
        <family val="2"/>
      </rPr>
      <t>Δ5</t>
    </r>
    <r>
      <rPr>
        <b/>
        <sz val="9.9"/>
        <color indexed="9"/>
        <rFont val="Arial"/>
        <family val="2"/>
        <charset val="178"/>
      </rPr>
      <t>=</t>
    </r>
  </si>
  <si>
    <r>
      <rPr>
        <b/>
        <sz val="11"/>
        <color indexed="9"/>
        <rFont val="Calibri"/>
        <family val="2"/>
      </rPr>
      <t>Δ</t>
    </r>
    <r>
      <rPr>
        <b/>
        <sz val="9.9"/>
        <color indexed="9"/>
        <rFont val="Arial"/>
        <family val="2"/>
        <charset val="178"/>
      </rPr>
      <t>6=</t>
    </r>
  </si>
  <si>
    <t>TRUSS OPTIMIZATION (analysis and design) BY TRAIL AND ERROR SOLUTION</t>
  </si>
  <si>
    <t>A4=</t>
  </si>
  <si>
    <t>A5=</t>
  </si>
  <si>
    <t>A6=</t>
  </si>
  <si>
    <t>A7=</t>
  </si>
  <si>
    <t>A8=</t>
  </si>
  <si>
    <t>A9=</t>
  </si>
  <si>
    <t>A10=</t>
  </si>
  <si>
    <t>q2=</t>
  </si>
  <si>
    <t>q3=</t>
  </si>
  <si>
    <t>q5=</t>
  </si>
  <si>
    <t>q4=</t>
  </si>
  <si>
    <t>q6=</t>
  </si>
  <si>
    <t>q7=</t>
  </si>
  <si>
    <t>q8=</t>
  </si>
  <si>
    <t>q9=</t>
  </si>
  <si>
    <t>q10=</t>
  </si>
  <si>
    <r>
      <rPr>
        <b/>
        <sz val="11"/>
        <color indexed="9"/>
        <rFont val="Calibri"/>
        <family val="2"/>
      </rPr>
      <t>Δ</t>
    </r>
    <r>
      <rPr>
        <b/>
        <sz val="9.9"/>
        <color indexed="9"/>
        <rFont val="Arial"/>
        <family val="2"/>
        <charset val="178"/>
      </rPr>
      <t>5=</t>
    </r>
  </si>
  <si>
    <r>
      <rPr>
        <b/>
        <sz val="11"/>
        <color indexed="9"/>
        <rFont val="Calibri"/>
        <family val="2"/>
      </rPr>
      <t>Δ6</t>
    </r>
    <r>
      <rPr>
        <b/>
        <sz val="9.9"/>
        <color indexed="9"/>
        <rFont val="Arial"/>
        <family val="2"/>
        <charset val="178"/>
      </rPr>
      <t>=</t>
    </r>
  </si>
  <si>
    <r>
      <rPr>
        <b/>
        <sz val="11"/>
        <color indexed="9"/>
        <rFont val="Calibri"/>
        <family val="2"/>
      </rPr>
      <t>Δ</t>
    </r>
    <r>
      <rPr>
        <b/>
        <sz val="9.9"/>
        <color indexed="9"/>
        <rFont val="Arial"/>
        <family val="2"/>
        <charset val="178"/>
      </rPr>
      <t>7=</t>
    </r>
  </si>
  <si>
    <r>
      <rPr>
        <b/>
        <sz val="11"/>
        <color indexed="9"/>
        <rFont val="Calibri"/>
        <family val="2"/>
      </rPr>
      <t>Δ</t>
    </r>
    <r>
      <rPr>
        <b/>
        <sz val="9.9"/>
        <color indexed="9"/>
        <rFont val="Arial"/>
        <family val="2"/>
        <charset val="178"/>
      </rPr>
      <t>8=</t>
    </r>
  </si>
  <si>
    <r>
      <rPr>
        <b/>
        <sz val="11"/>
        <color indexed="9"/>
        <rFont val="Calibri"/>
        <family val="2"/>
      </rPr>
      <t>Δ9</t>
    </r>
    <r>
      <rPr>
        <b/>
        <sz val="9.9"/>
        <color indexed="9"/>
        <rFont val="Arial"/>
        <family val="2"/>
        <charset val="178"/>
      </rPr>
      <t>=</t>
    </r>
  </si>
  <si>
    <r>
      <rPr>
        <b/>
        <sz val="11"/>
        <color indexed="9"/>
        <rFont val="Calibri"/>
        <family val="2"/>
      </rPr>
      <t>Δ</t>
    </r>
    <r>
      <rPr>
        <b/>
        <sz val="9.9"/>
        <color indexed="9"/>
        <rFont val="Arial"/>
        <family val="2"/>
        <charset val="178"/>
      </rPr>
      <t>10=</t>
    </r>
  </si>
  <si>
    <r>
      <rPr>
        <b/>
        <sz val="11"/>
        <color indexed="9"/>
        <rFont val="Calibri"/>
        <family val="2"/>
      </rPr>
      <t>Δ11</t>
    </r>
    <r>
      <rPr>
        <b/>
        <sz val="9.9"/>
        <color indexed="9"/>
        <rFont val="Arial"/>
        <family val="2"/>
        <charset val="178"/>
      </rPr>
      <t>=</t>
    </r>
  </si>
  <si>
    <r>
      <rPr>
        <b/>
        <sz val="11"/>
        <color indexed="9"/>
        <rFont val="Calibri"/>
        <family val="2"/>
      </rPr>
      <t>Δ</t>
    </r>
    <r>
      <rPr>
        <b/>
        <sz val="9.9"/>
        <color indexed="9"/>
        <rFont val="Arial"/>
        <family val="2"/>
        <charset val="178"/>
      </rPr>
      <t>12=</t>
    </r>
  </si>
  <si>
    <t>D7</t>
  </si>
  <si>
    <t>D8</t>
  </si>
  <si>
    <t>D9</t>
  </si>
  <si>
    <t>D10</t>
  </si>
  <si>
    <t>D11</t>
  </si>
  <si>
    <t>D12</t>
  </si>
  <si>
    <t>Q3</t>
  </si>
  <si>
    <t>Q4</t>
  </si>
  <si>
    <r>
      <rPr>
        <b/>
        <sz val="11"/>
        <rFont val="Arial"/>
        <family val="2"/>
      </rPr>
      <t>Σ</t>
    </r>
    <r>
      <rPr>
        <b/>
        <sz val="11"/>
        <rFont val="Arial"/>
        <family val="2"/>
      </rPr>
      <t>F5=0</t>
    </r>
  </si>
  <si>
    <t>ΣF5=0</t>
  </si>
  <si>
    <t>ΣF6=0</t>
  </si>
  <si>
    <t>ΣF7=0</t>
  </si>
  <si>
    <t>ΣF8=0</t>
  </si>
  <si>
    <t>ΣF9=0</t>
  </si>
  <si>
    <t>ΣF10=0</t>
  </si>
  <si>
    <t>ΣF11=0</t>
  </si>
  <si>
    <t>ΣF12=0</t>
  </si>
  <si>
    <t>ΣF3=0</t>
  </si>
  <si>
    <t>W=0.5[P]{Δ}</t>
  </si>
  <si>
    <t>weight</t>
  </si>
  <si>
    <t>joint-1</t>
  </si>
  <si>
    <t>joint-2</t>
  </si>
  <si>
    <t>joint-3</t>
  </si>
  <si>
    <t>joint-4</t>
  </si>
  <si>
    <t>ΣFx=0</t>
  </si>
  <si>
    <t>ΣFy=0</t>
  </si>
  <si>
    <t>[K]{Δ}-[P]=0</t>
  </si>
  <si>
    <t>{Δ}=[K]^-1*[P]</t>
  </si>
  <si>
    <t>Equilibrium Equation in Joints</t>
  </si>
  <si>
    <t xml:space="preserve">Objective Function
</t>
  </si>
  <si>
    <t>Constrains</t>
  </si>
  <si>
    <t>D3=</t>
  </si>
  <si>
    <t>D22=</t>
  </si>
  <si>
    <t>D41=</t>
  </si>
  <si>
    <t>tf=</t>
  </si>
  <si>
    <t>D4=</t>
  </si>
  <si>
    <t>D23=</t>
  </si>
  <si>
    <t>D42=</t>
  </si>
  <si>
    <t xml:space="preserve">tw= </t>
  </si>
  <si>
    <t>D5=</t>
  </si>
  <si>
    <t>D24=</t>
  </si>
  <si>
    <t>D43=</t>
  </si>
  <si>
    <t>hw1=</t>
  </si>
  <si>
    <t>D6=</t>
  </si>
  <si>
    <t>D25=</t>
  </si>
  <si>
    <t>D44=</t>
  </si>
  <si>
    <t>hw2=</t>
  </si>
  <si>
    <t>D7=</t>
  </si>
  <si>
    <t>D26=</t>
  </si>
  <si>
    <t>D45=</t>
  </si>
  <si>
    <t>hw3=</t>
  </si>
  <si>
    <t>D8=</t>
  </si>
  <si>
    <t>D27=</t>
  </si>
  <si>
    <t>D46=</t>
  </si>
  <si>
    <t>hw4=</t>
  </si>
  <si>
    <t>D9=</t>
  </si>
  <si>
    <t>D28=</t>
  </si>
  <si>
    <t>D47=</t>
  </si>
  <si>
    <t>hw5=</t>
  </si>
  <si>
    <t>D10=</t>
  </si>
  <si>
    <t>D29=</t>
  </si>
  <si>
    <t>D48=</t>
  </si>
  <si>
    <t>hw6=</t>
  </si>
  <si>
    <t>D11=</t>
  </si>
  <si>
    <t>D30=</t>
  </si>
  <si>
    <t>D51=</t>
  </si>
  <si>
    <t>hw7=</t>
  </si>
  <si>
    <t>D12=</t>
  </si>
  <si>
    <t>D31=</t>
  </si>
  <si>
    <t>hw8=</t>
  </si>
  <si>
    <t>D13=</t>
  </si>
  <si>
    <t>D32=</t>
  </si>
  <si>
    <t>hw9=</t>
  </si>
  <si>
    <t>D14=</t>
  </si>
  <si>
    <t>D33=</t>
  </si>
  <si>
    <t>hw10=</t>
  </si>
  <si>
    <t>D15=</t>
  </si>
  <si>
    <t>D34=</t>
  </si>
  <si>
    <t>hw11=</t>
  </si>
  <si>
    <t>D16=</t>
  </si>
  <si>
    <t>D35=</t>
  </si>
  <si>
    <t>hw12=</t>
  </si>
  <si>
    <t>D17=</t>
  </si>
  <si>
    <t>D36=</t>
  </si>
  <si>
    <t>hw13=</t>
  </si>
  <si>
    <t>D18=</t>
  </si>
  <si>
    <t>D37=</t>
  </si>
  <si>
    <t>hw14=</t>
  </si>
  <si>
    <t>D19=</t>
  </si>
  <si>
    <t>D38=</t>
  </si>
  <si>
    <t>hw15=</t>
  </si>
  <si>
    <t>D20=</t>
  </si>
  <si>
    <t>D39=</t>
  </si>
  <si>
    <t>hw16=</t>
  </si>
  <si>
    <t>D21=</t>
  </si>
  <si>
    <t>D40=</t>
  </si>
  <si>
    <t>L1=</t>
  </si>
  <si>
    <t>L2=</t>
  </si>
  <si>
    <t>h1=</t>
  </si>
  <si>
    <t>h2=</t>
  </si>
  <si>
    <t>σy=</t>
  </si>
  <si>
    <t>Fa=</t>
  </si>
  <si>
    <t>Fv=</t>
  </si>
  <si>
    <t>Mz</t>
  </si>
  <si>
    <t>θz</t>
  </si>
  <si>
    <t>N</t>
  </si>
  <si>
    <t>V</t>
  </si>
  <si>
    <t>M</t>
  </si>
  <si>
    <t>lanada-x=</t>
  </si>
  <si>
    <t>y=</t>
  </si>
  <si>
    <t>4EI/L=</t>
  </si>
  <si>
    <t>6EI/L^2=</t>
  </si>
  <si>
    <t>lanada-y=</t>
  </si>
  <si>
    <t>EA/L=</t>
  </si>
  <si>
    <t>2EI/L=</t>
  </si>
  <si>
    <t>12EI/L^3=</t>
  </si>
  <si>
    <t>X</t>
  </si>
  <si>
    <t>Q49</t>
  </si>
  <si>
    <t>Q50</t>
  </si>
  <si>
    <t>D4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</si>
  <si>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</si>
  <si>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</si>
  <si>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</si>
  <si>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</si>
  <si>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</si>
  <si>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</si>
  <si>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</si>
  <si>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</si>
  <si>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</si>
  <si>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</si>
  <si>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</si>
  <si>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</si>
  <si>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</si>
  <si>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</si>
  <si>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</si>
  <si>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</si>
  <si>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</si>
  <si>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</si>
  <si>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</si>
  <si>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</si>
  <si>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</si>
  <si>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</si>
  <si>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</si>
  <si>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</si>
  <si>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</si>
  <si>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</si>
  <si>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</si>
  <si>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</si>
  <si>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</si>
  <si>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</si>
  <si>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</si>
  <si>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</si>
  <si>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</si>
  <si>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</si>
  <si>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</si>
  <si>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</si>
  <si>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D51</t>
  </si>
  <si>
    <r>
      <rPr>
        <b/>
        <sz val="11"/>
        <rFont val="Arial"/>
        <family val="2"/>
      </rPr>
      <t>Σ</t>
    </r>
    <r>
      <rPr>
        <b/>
        <sz val="11"/>
        <rFont val="Arial"/>
        <family val="2"/>
      </rPr>
      <t>F3=0</t>
    </r>
  </si>
  <si>
    <t>ΣF4=0</t>
  </si>
  <si>
    <t>ΣF13=0</t>
  </si>
  <si>
    <t>ΣF14=0</t>
  </si>
  <si>
    <t>ΣF15=0</t>
  </si>
  <si>
    <t>ΣF16=0</t>
  </si>
  <si>
    <t>ΣF17=0</t>
  </si>
  <si>
    <t>ΣF18=0</t>
  </si>
  <si>
    <t>ΣF19=0</t>
  </si>
  <si>
    <t>ΣF20=0</t>
  </si>
  <si>
    <t>ΣF21=0</t>
  </si>
  <si>
    <t>ΣF22=0</t>
  </si>
  <si>
    <t>ΣF23=0</t>
  </si>
  <si>
    <t>ΣF24=0</t>
  </si>
  <si>
    <t>ΣF25=0</t>
  </si>
  <si>
    <t>ΣF26=0</t>
  </si>
  <si>
    <t>ΣF27=0</t>
  </si>
  <si>
    <t>ΣF28=0</t>
  </si>
  <si>
    <t>ΣF29=0</t>
  </si>
  <si>
    <t>ΣF30=0</t>
  </si>
  <si>
    <t>ΣF31=0</t>
  </si>
  <si>
    <t>ΣF32=0</t>
  </si>
  <si>
    <t>ΣF33=0</t>
  </si>
  <si>
    <t>ΣF34=0</t>
  </si>
  <si>
    <t>ΣF35=0</t>
  </si>
  <si>
    <t>ΣF36=0</t>
  </si>
  <si>
    <t>ΣF37=0</t>
  </si>
  <si>
    <t>ΣF38=0</t>
  </si>
  <si>
    <t>ΣF39=0</t>
  </si>
  <si>
    <t>ΣF40=0</t>
  </si>
  <si>
    <t>ΣF41=0</t>
  </si>
  <si>
    <t>ΣF42=0</t>
  </si>
  <si>
    <t>ΣF43=0</t>
  </si>
  <si>
    <t>ΣF44=0</t>
  </si>
  <si>
    <t>ΣF45=0</t>
  </si>
  <si>
    <t>ΣF46=0</t>
  </si>
  <si>
    <t>ΣF47=0</t>
  </si>
  <si>
    <t>ΣF48=1</t>
  </si>
  <si>
    <t>ΣF51=0</t>
  </si>
  <si>
    <t>fa-i=</t>
  </si>
  <si>
    <t>fv-i=</t>
  </si>
  <si>
    <t>fb-i=</t>
  </si>
  <si>
    <t>fa-j=</t>
  </si>
  <si>
    <t>fv-j=</t>
  </si>
  <si>
    <t>fb-j=</t>
  </si>
  <si>
    <t>(fa/Fa)+(fb/Fb)=</t>
  </si>
  <si>
    <t>(fv/Fv)=</t>
  </si>
  <si>
    <t>hw1/tw=</t>
  </si>
  <si>
    <t>hw2/tw=</t>
  </si>
  <si>
    <t>hw3/tw=</t>
  </si>
  <si>
    <t>hw4/tw=</t>
  </si>
  <si>
    <t>(fa/Fa)=</t>
  </si>
  <si>
    <t>Internal Force-start-i</t>
  </si>
  <si>
    <t>Internal Force-end-j</t>
  </si>
  <si>
    <t>fv/Fv</t>
  </si>
  <si>
    <t>(fa/Fa)+(fb/Fb)</t>
  </si>
  <si>
    <t>Define Scale Factor to show Deformation :</t>
  </si>
  <si>
    <t>مقطع غير فشرده داراي شرط تكيه گاه جانبي</t>
  </si>
  <si>
    <t>Min</t>
  </si>
  <si>
    <t>Max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</si>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</sst>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"/>
    <numFmt numFmtId="167" formatCode="0.00000"/>
  </numFmts>
  <fonts count="58" x14ac:knownFonts="1">
    <font>
      <sz val="11"/>
      <color theme="1"/>
      <name val="Calibri"/>
      <family val="2"/>
      <charset val="178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Arial"/>
      <family val="2"/>
    </font>
    <font>
      <b/>
      <sz val="10"/>
      <color indexed="81"/>
      <name val="Tahoma"/>
      <family val="2"/>
    </font>
    <font>
      <b/>
      <sz val="11"/>
      <color indexed="8"/>
      <name val="Arial"/>
      <family val="2"/>
      <charset val="178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name val="Arial"/>
      <family val="2"/>
    </font>
    <font>
      <b/>
      <vertAlign val="subscript"/>
      <sz val="12"/>
      <color indexed="8"/>
      <name val="Calibri"/>
      <family val="2"/>
    </font>
    <font>
      <b/>
      <vertAlign val="subscript"/>
      <sz val="14"/>
      <color indexed="8"/>
      <name val="Calibri"/>
      <family val="2"/>
    </font>
    <font>
      <b/>
      <sz val="8"/>
      <color indexed="8"/>
      <name val="Arial"/>
      <family val="2"/>
    </font>
    <font>
      <b/>
      <sz val="11"/>
      <color indexed="81"/>
      <name val="Tahoma"/>
      <family val="2"/>
    </font>
    <font>
      <b/>
      <sz val="12"/>
      <color indexed="8"/>
      <name val="Arial"/>
      <family val="2"/>
    </font>
    <font>
      <vertAlign val="subscript"/>
      <sz val="14"/>
      <color indexed="8"/>
      <name val="Arial"/>
      <family val="2"/>
    </font>
    <font>
      <sz val="12"/>
      <name val="Arial"/>
      <family val="2"/>
    </font>
    <font>
      <b/>
      <sz val="12"/>
      <color indexed="81"/>
      <name val="Tahoma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8"/>
      <color indexed="81"/>
      <name val="Arial Black"/>
      <family val="2"/>
    </font>
    <font>
      <b/>
      <sz val="8"/>
      <color indexed="81"/>
      <name val="Arial"/>
      <family val="2"/>
    </font>
    <font>
      <sz val="12"/>
      <name val="Arial"/>
      <family val="2"/>
    </font>
    <font>
      <b/>
      <sz val="11"/>
      <color indexed="9"/>
      <name val="Calibri"/>
      <family val="2"/>
    </font>
    <font>
      <b/>
      <sz val="9.9"/>
      <color indexed="9"/>
      <name val="Arial"/>
      <family val="2"/>
      <charset val="178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</font>
    <font>
      <b/>
      <sz val="11"/>
      <name val="Calibri"/>
      <family val="2"/>
      <scheme val="minor"/>
    </font>
    <font>
      <b/>
      <sz val="10"/>
      <color theme="3" tint="0.39997558519241921"/>
      <name val="Arial"/>
      <family val="2"/>
    </font>
    <font>
      <b/>
      <sz val="10"/>
      <color rgb="FF0070C0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  <charset val="178"/>
    </font>
    <font>
      <b/>
      <sz val="11"/>
      <color theme="0"/>
      <name val="Arial"/>
      <family val="2"/>
    </font>
    <font>
      <b/>
      <sz val="10"/>
      <color rgb="FF0070C0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11" fontId="29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30" fillId="0" borderId="0" xfId="0" applyFont="1" applyAlignment="1">
      <alignment horizontal="center" vertical="center"/>
    </xf>
    <xf numFmtId="11" fontId="3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11" fontId="0" fillId="0" borderId="0" xfId="0" applyNumberFormat="1"/>
    <xf numFmtId="0" fontId="26" fillId="0" borderId="0" xfId="1" applyAlignment="1">
      <alignment horizontal="center" vertical="center"/>
    </xf>
    <xf numFmtId="0" fontId="31" fillId="0" borderId="0" xfId="0" applyFont="1"/>
    <xf numFmtId="164" fontId="31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6" fillId="0" borderId="0" xfId="0" applyFont="1"/>
    <xf numFmtId="0" fontId="33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left" readingOrder="2"/>
    </xf>
    <xf numFmtId="0" fontId="29" fillId="0" borderId="0" xfId="0" applyFont="1" applyAlignment="1">
      <alignment horizontal="center"/>
    </xf>
    <xf numFmtId="164" fontId="2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1" fillId="0" borderId="1" xfId="0" applyFont="1" applyBorder="1" applyAlignment="1">
      <alignment horizontal="right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right" readingOrder="2"/>
    </xf>
    <xf numFmtId="165" fontId="0" fillId="0" borderId="0" xfId="0" applyNumberFormat="1"/>
    <xf numFmtId="164" fontId="26" fillId="0" borderId="0" xfId="0" applyNumberFormat="1" applyFont="1" applyAlignment="1">
      <alignment horizontal="center"/>
    </xf>
    <xf numFmtId="164" fontId="31" fillId="0" borderId="0" xfId="0" applyNumberFormat="1" applyFont="1"/>
    <xf numFmtId="0" fontId="31" fillId="0" borderId="0" xfId="0" applyFont="1" applyBorder="1" applyAlignment="1">
      <alignment horizontal="right"/>
    </xf>
    <xf numFmtId="0" fontId="30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right"/>
    </xf>
    <xf numFmtId="0" fontId="29" fillId="0" borderId="2" xfId="0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 readingOrder="2"/>
    </xf>
    <xf numFmtId="164" fontId="26" fillId="0" borderId="0" xfId="0" applyNumberFormat="1" applyFont="1" applyBorder="1" applyAlignment="1">
      <alignment horizontal="center" vertical="center"/>
    </xf>
    <xf numFmtId="0" fontId="26" fillId="0" borderId="42" xfId="0" applyFont="1" applyBorder="1" applyAlignment="1">
      <alignment horizontal="right"/>
    </xf>
    <xf numFmtId="164" fontId="31" fillId="0" borderId="43" xfId="0" applyNumberFormat="1" applyFont="1" applyBorder="1" applyAlignment="1">
      <alignment horizontal="center" vertical="center"/>
    </xf>
    <xf numFmtId="0" fontId="26" fillId="0" borderId="44" xfId="0" applyFont="1" applyBorder="1" applyAlignment="1">
      <alignment horizontal="right"/>
    </xf>
    <xf numFmtId="164" fontId="26" fillId="0" borderId="45" xfId="0" applyNumberFormat="1" applyFont="1" applyBorder="1" applyAlignment="1">
      <alignment horizontal="center"/>
    </xf>
    <xf numFmtId="0" fontId="34" fillId="0" borderId="45" xfId="0" applyFont="1" applyBorder="1" applyAlignment="1">
      <alignment horizontal="center" vertical="center"/>
    </xf>
    <xf numFmtId="164" fontId="31" fillId="0" borderId="46" xfId="0" applyNumberFormat="1" applyFont="1" applyBorder="1" applyAlignment="1">
      <alignment horizontal="center" vertical="center"/>
    </xf>
    <xf numFmtId="0" fontId="36" fillId="0" borderId="42" xfId="0" applyFont="1" applyBorder="1" applyAlignment="1">
      <alignment horizontal="right" readingOrder="2"/>
    </xf>
    <xf numFmtId="0" fontId="31" fillId="0" borderId="42" xfId="0" applyFont="1" applyBorder="1" applyAlignment="1">
      <alignment horizontal="center" vertical="center" readingOrder="2"/>
    </xf>
    <xf numFmtId="0" fontId="35" fillId="0" borderId="42" xfId="0" applyFont="1" applyBorder="1" applyAlignment="1">
      <alignment horizontal="right" readingOrder="2"/>
    </xf>
    <xf numFmtId="0" fontId="31" fillId="0" borderId="43" xfId="0" applyFont="1" applyBorder="1" applyAlignment="1">
      <alignment horizontal="center" vertical="center"/>
    </xf>
    <xf numFmtId="0" fontId="35" fillId="0" borderId="42" xfId="0" applyFont="1" applyBorder="1" applyAlignment="1">
      <alignment horizontal="right"/>
    </xf>
    <xf numFmtId="164" fontId="26" fillId="0" borderId="45" xfId="0" applyNumberFormat="1" applyFont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7" fillId="0" borderId="42" xfId="0" applyFont="1" applyBorder="1" applyAlignment="1">
      <alignment horizontal="right" readingOrder="2"/>
    </xf>
    <xf numFmtId="0" fontId="38" fillId="0" borderId="0" xfId="0" applyFont="1" applyBorder="1" applyAlignment="1">
      <alignment horizontal="center" vertical="center"/>
    </xf>
    <xf numFmtId="0" fontId="35" fillId="0" borderId="44" xfId="0" applyFont="1" applyBorder="1" applyAlignment="1">
      <alignment horizontal="right" readingOrder="2"/>
    </xf>
    <xf numFmtId="164" fontId="31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1" fillId="0" borderId="42" xfId="0" applyFont="1" applyBorder="1" applyAlignment="1">
      <alignment horizontal="right"/>
    </xf>
    <xf numFmtId="0" fontId="0" fillId="0" borderId="0" xfId="0" applyBorder="1"/>
    <xf numFmtId="0" fontId="0" fillId="0" borderId="43" xfId="0" applyBorder="1"/>
    <xf numFmtId="0" fontId="40" fillId="0" borderId="42" xfId="0" applyFont="1" applyBorder="1" applyAlignment="1">
      <alignment horizontal="right" readingOrder="2"/>
    </xf>
    <xf numFmtId="164" fontId="31" fillId="0" borderId="0" xfId="0" applyNumberFormat="1" applyFont="1" applyBorder="1" applyAlignment="1">
      <alignment horizontal="center"/>
    </xf>
    <xf numFmtId="0" fontId="31" fillId="0" borderId="44" xfId="0" applyFont="1" applyBorder="1" applyAlignment="1">
      <alignment horizontal="right"/>
    </xf>
    <xf numFmtId="164" fontId="31" fillId="0" borderId="45" xfId="0" applyNumberFormat="1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/>
    </xf>
    <xf numFmtId="0" fontId="31" fillId="0" borderId="42" xfId="0" applyFont="1" applyBorder="1" applyAlignment="1">
      <alignment horizontal="right" vertical="center"/>
    </xf>
    <xf numFmtId="165" fontId="31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42" xfId="0" applyFont="1" applyFill="1" applyBorder="1" applyAlignment="1">
      <alignment horizontal="right"/>
    </xf>
    <xf numFmtId="0" fontId="36" fillId="0" borderId="44" xfId="0" applyFont="1" applyBorder="1" applyAlignment="1">
      <alignment horizontal="right" readingOrder="2"/>
    </xf>
    <xf numFmtId="0" fontId="35" fillId="0" borderId="44" xfId="0" applyFont="1" applyBorder="1" applyAlignment="1">
      <alignment horizontal="right"/>
    </xf>
    <xf numFmtId="0" fontId="0" fillId="0" borderId="45" xfId="0" applyBorder="1"/>
    <xf numFmtId="0" fontId="0" fillId="0" borderId="46" xfId="0" applyBorder="1"/>
    <xf numFmtId="165" fontId="31" fillId="0" borderId="45" xfId="0" applyNumberFormat="1" applyFont="1" applyBorder="1" applyAlignment="1">
      <alignment horizontal="center" vertical="center"/>
    </xf>
    <xf numFmtId="164" fontId="31" fillId="0" borderId="46" xfId="0" applyNumberFormat="1" applyFont="1" applyBorder="1" applyAlignment="1">
      <alignment horizontal="center"/>
    </xf>
    <xf numFmtId="0" fontId="40" fillId="0" borderId="44" xfId="0" applyFont="1" applyBorder="1" applyAlignment="1">
      <alignment horizontal="right" readingOrder="2"/>
    </xf>
    <xf numFmtId="0" fontId="31" fillId="0" borderId="45" xfId="0" applyFont="1" applyBorder="1"/>
    <xf numFmtId="0" fontId="0" fillId="0" borderId="44" xfId="0" applyBorder="1"/>
    <xf numFmtId="0" fontId="35" fillId="0" borderId="0" xfId="0" applyFont="1" applyAlignment="1">
      <alignment horizontal="right" readingOrder="2"/>
    </xf>
    <xf numFmtId="0" fontId="39" fillId="0" borderId="0" xfId="0" applyFont="1"/>
    <xf numFmtId="165" fontId="41" fillId="0" borderId="46" xfId="0" applyNumberFormat="1" applyFont="1" applyBorder="1" applyAlignment="1">
      <alignment horizontal="center" vertical="center"/>
    </xf>
    <xf numFmtId="164" fontId="31" fillId="0" borderId="43" xfId="0" applyNumberFormat="1" applyFont="1" applyBorder="1" applyAlignment="1">
      <alignment horizontal="center" vertical="center" readingOrder="2"/>
    </xf>
    <xf numFmtId="0" fontId="0" fillId="3" borderId="1" xfId="0" applyFill="1" applyBorder="1" applyAlignment="1" applyProtection="1">
      <alignment horizontal="center" vertical="center"/>
      <protection hidden="1"/>
    </xf>
    <xf numFmtId="0" fontId="42" fillId="3" borderId="1" xfId="0" applyFont="1" applyFill="1" applyBorder="1" applyAlignment="1" applyProtection="1">
      <alignment horizontal="center" vertical="center"/>
      <protection locked="0"/>
    </xf>
    <xf numFmtId="0" fontId="42" fillId="3" borderId="3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 applyProtection="1">
      <alignment horizontal="center" vertic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0" fontId="19" fillId="3" borderId="5" xfId="0" applyFont="1" applyFill="1" applyBorder="1" applyAlignment="1" applyProtection="1">
      <alignment horizontal="center" vertical="center"/>
      <protection hidden="1"/>
    </xf>
    <xf numFmtId="0" fontId="0" fillId="3" borderId="6" xfId="0" applyFill="1" applyBorder="1" applyAlignment="1" applyProtection="1">
      <alignment horizontal="center" vertical="center"/>
      <protection hidden="1"/>
    </xf>
    <xf numFmtId="0" fontId="19" fillId="3" borderId="6" xfId="0" applyFont="1" applyFill="1" applyBorder="1" applyAlignment="1" applyProtection="1">
      <alignment horizontal="center" vertical="center"/>
      <protection hidden="1"/>
    </xf>
    <xf numFmtId="0" fontId="0" fillId="3" borderId="7" xfId="0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0" fillId="3" borderId="8" xfId="0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0" fillId="3" borderId="10" xfId="0" applyNumberFormat="1" applyFill="1" applyBorder="1" applyAlignment="1" applyProtection="1">
      <alignment horizontal="center" vertical="center"/>
      <protection hidden="1"/>
    </xf>
    <xf numFmtId="0" fontId="0" fillId="3" borderId="8" xfId="0" applyFill="1" applyBorder="1" applyAlignment="1" applyProtection="1">
      <alignment horizontal="center"/>
      <protection hidden="1"/>
    </xf>
    <xf numFmtId="0" fontId="19" fillId="3" borderId="9" xfId="0" applyFont="1" applyFill="1" applyBorder="1" applyAlignment="1" applyProtection="1">
      <alignment horizontal="center" vertical="center"/>
      <protection hidden="1"/>
    </xf>
    <xf numFmtId="0" fontId="0" fillId="3" borderId="9" xfId="0" applyFill="1" applyBorder="1" applyAlignment="1" applyProtection="1">
      <alignment horizontal="center" vertical="center"/>
      <protection hidden="1"/>
    </xf>
    <xf numFmtId="0" fontId="22" fillId="3" borderId="8" xfId="0" applyFont="1" applyFill="1" applyBorder="1" applyAlignment="1" applyProtection="1">
      <alignment horizontal="center"/>
      <protection hidden="1"/>
    </xf>
    <xf numFmtId="0" fontId="19" fillId="3" borderId="10" xfId="0" applyFont="1" applyFill="1" applyBorder="1" applyAlignment="1" applyProtection="1">
      <alignment horizontal="center" vertical="center"/>
      <protection hidden="1"/>
    </xf>
    <xf numFmtId="0" fontId="0" fillId="3" borderId="11" xfId="0" applyFill="1" applyBorder="1" applyAlignment="1" applyProtection="1">
      <alignment horizontal="center" vertical="center"/>
      <protection hidden="1"/>
    </xf>
    <xf numFmtId="0" fontId="0" fillId="3" borderId="12" xfId="0" applyFill="1" applyBorder="1" applyAlignment="1" applyProtection="1">
      <alignment horizontal="center" vertical="center"/>
      <protection hidden="1"/>
    </xf>
    <xf numFmtId="0" fontId="0" fillId="3" borderId="13" xfId="0" applyFill="1" applyBorder="1" applyAlignment="1" applyProtection="1">
      <alignment horizontal="center"/>
      <protection hidden="1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hidden="1"/>
    </xf>
    <xf numFmtId="0" fontId="0" fillId="0" borderId="9" xfId="0" applyBorder="1"/>
    <xf numFmtId="0" fontId="0" fillId="3" borderId="15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/>
    <xf numFmtId="0" fontId="0" fillId="0" borderId="0" xfId="0" applyFill="1" applyBorder="1" applyAlignment="1" applyProtection="1">
      <alignment horizontal="center"/>
      <protection hidden="1"/>
    </xf>
    <xf numFmtId="164" fontId="0" fillId="0" borderId="0" xfId="0" applyNumberFormat="1" applyFill="1" applyBorder="1" applyAlignment="1" applyProtection="1">
      <alignment horizontal="center"/>
      <protection hidden="1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43" fillId="3" borderId="1" xfId="0" applyFont="1" applyFill="1" applyBorder="1" applyAlignment="1" applyProtection="1">
      <alignment horizontal="center" vertical="center"/>
      <protection locked="0"/>
    </xf>
    <xf numFmtId="0" fontId="43" fillId="3" borderId="3" xfId="0" applyFont="1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hidden="1"/>
    </xf>
    <xf numFmtId="164" fontId="0" fillId="3" borderId="17" xfId="0" applyNumberFormat="1" applyFill="1" applyBorder="1" applyAlignment="1" applyProtection="1">
      <alignment horizontal="center" vertical="center"/>
      <protection hidden="1"/>
    </xf>
    <xf numFmtId="0" fontId="0" fillId="3" borderId="18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alignment horizontal="center" vertical="center"/>
      <protection locked="0"/>
    </xf>
    <xf numFmtId="0" fontId="43" fillId="3" borderId="20" xfId="0" applyFont="1" applyFill="1" applyBorder="1" applyAlignment="1" applyProtection="1">
      <alignment horizontal="center" vertical="center"/>
      <protection locked="0"/>
    </xf>
    <xf numFmtId="164" fontId="0" fillId="3" borderId="21" xfId="0" applyNumberFormat="1" applyFill="1" applyBorder="1" applyAlignment="1" applyProtection="1">
      <alignment horizontal="center" vertical="center"/>
      <protection hidden="1"/>
    </xf>
    <xf numFmtId="164" fontId="0" fillId="3" borderId="22" xfId="0" applyNumberFormat="1" applyFill="1" applyBorder="1" applyAlignment="1" applyProtection="1">
      <alignment horizontal="center" vertical="center"/>
      <protection hidden="1"/>
    </xf>
    <xf numFmtId="164" fontId="0" fillId="3" borderId="19" xfId="0" applyNumberFormat="1" applyFill="1" applyBorder="1" applyAlignment="1" applyProtection="1">
      <alignment horizontal="center"/>
      <protection hidden="1"/>
    </xf>
    <xf numFmtId="0" fontId="42" fillId="3" borderId="19" xfId="0" applyFont="1" applyFill="1" applyBorder="1" applyAlignment="1" applyProtection="1">
      <alignment horizontal="center" vertical="center"/>
      <protection locked="0"/>
    </xf>
    <xf numFmtId="0" fontId="42" fillId="3" borderId="20" xfId="0" applyFont="1" applyFill="1" applyBorder="1" applyAlignment="1" applyProtection="1">
      <alignment horizontal="center" vertical="center"/>
      <protection locked="0"/>
    </xf>
    <xf numFmtId="0" fontId="0" fillId="3" borderId="20" xfId="0" applyFill="1" applyBorder="1" applyAlignment="1" applyProtection="1">
      <alignment horizontal="center" vertical="center"/>
      <protection hidden="1"/>
    </xf>
    <xf numFmtId="0" fontId="0" fillId="3" borderId="22" xfId="0" applyFill="1" applyBorder="1" applyAlignment="1" applyProtection="1">
      <alignment horizontal="center" vertical="center"/>
      <protection hidden="1"/>
    </xf>
    <xf numFmtId="0" fontId="30" fillId="0" borderId="47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0" fillId="3" borderId="20" xfId="0" applyFill="1" applyBorder="1" applyAlignment="1" applyProtection="1">
      <alignment vertical="center"/>
      <protection hidden="1"/>
    </xf>
    <xf numFmtId="0" fontId="0" fillId="3" borderId="4" xfId="0" applyNumberFormat="1" applyFill="1" applyBorder="1" applyAlignment="1" applyProtection="1">
      <alignment horizontal="center" vertical="center"/>
      <protection hidden="1"/>
    </xf>
    <xf numFmtId="0" fontId="44" fillId="4" borderId="23" xfId="0" applyFont="1" applyFill="1" applyBorder="1" applyAlignment="1" applyProtection="1">
      <alignment horizontal="center" vertical="center"/>
      <protection hidden="1"/>
    </xf>
    <xf numFmtId="0" fontId="45" fillId="4" borderId="24" xfId="0" applyFont="1" applyFill="1" applyBorder="1" applyAlignment="1" applyProtection="1">
      <alignment horizontal="center" vertical="center"/>
      <protection hidden="1"/>
    </xf>
    <xf numFmtId="0" fontId="44" fillId="4" borderId="25" xfId="0" applyFont="1" applyFill="1" applyBorder="1" applyAlignment="1" applyProtection="1">
      <alignment horizontal="center" vertical="center"/>
      <protection hidden="1"/>
    </xf>
    <xf numFmtId="0" fontId="46" fillId="4" borderId="25" xfId="0" applyFont="1" applyFill="1" applyBorder="1" applyAlignment="1" applyProtection="1">
      <alignment horizontal="center" vertical="center"/>
      <protection hidden="1"/>
    </xf>
    <xf numFmtId="0" fontId="44" fillId="4" borderId="26" xfId="0" applyFont="1" applyFill="1" applyBorder="1" applyAlignment="1" applyProtection="1">
      <alignment horizontal="center" vertical="center"/>
      <protection hidden="1"/>
    </xf>
    <xf numFmtId="0" fontId="44" fillId="4" borderId="27" xfId="0" applyFont="1" applyFill="1" applyBorder="1" applyAlignment="1" applyProtection="1">
      <alignment horizontal="center" vertical="center"/>
      <protection hidden="1"/>
    </xf>
    <xf numFmtId="0" fontId="44" fillId="4" borderId="17" xfId="0" applyFont="1" applyFill="1" applyBorder="1" applyAlignment="1" applyProtection="1">
      <alignment horizontal="center"/>
      <protection hidden="1"/>
    </xf>
    <xf numFmtId="0" fontId="44" fillId="4" borderId="21" xfId="0" applyFont="1" applyFill="1" applyBorder="1" applyAlignment="1" applyProtection="1">
      <alignment horizontal="center"/>
      <protection hidden="1"/>
    </xf>
    <xf numFmtId="0" fontId="46" fillId="4" borderId="24" xfId="0" applyFont="1" applyFill="1" applyBorder="1" applyAlignment="1" applyProtection="1">
      <alignment horizontal="center" vertical="center"/>
      <protection hidden="1"/>
    </xf>
    <xf numFmtId="0" fontId="46" fillId="4" borderId="28" xfId="0" applyFont="1" applyFill="1" applyBorder="1" applyAlignment="1" applyProtection="1">
      <alignment horizontal="center" vertical="center"/>
      <protection locked="0"/>
    </xf>
    <xf numFmtId="0" fontId="46" fillId="4" borderId="29" xfId="0" applyFont="1" applyFill="1" applyBorder="1" applyAlignment="1" applyProtection="1">
      <alignment horizontal="center" vertical="center"/>
      <protection hidden="1"/>
    </xf>
    <xf numFmtId="0" fontId="44" fillId="4" borderId="1" xfId="0" applyFont="1" applyFill="1" applyBorder="1" applyAlignment="1" applyProtection="1">
      <alignment horizontal="center" vertical="center"/>
      <protection hidden="1"/>
    </xf>
    <xf numFmtId="0" fontId="44" fillId="4" borderId="3" xfId="0" applyFont="1" applyFill="1" applyBorder="1" applyAlignment="1" applyProtection="1">
      <alignment horizontal="center"/>
      <protection hidden="1"/>
    </xf>
    <xf numFmtId="0" fontId="28" fillId="4" borderId="47" xfId="0" applyFont="1" applyFill="1" applyBorder="1" applyAlignment="1">
      <alignment horizontal="center" vertical="center"/>
    </xf>
    <xf numFmtId="0" fontId="47" fillId="4" borderId="47" xfId="0" applyFont="1" applyFill="1" applyBorder="1" applyAlignment="1">
      <alignment horizontal="center" vertical="center"/>
    </xf>
    <xf numFmtId="0" fontId="48" fillId="4" borderId="47" xfId="0" applyFont="1" applyFill="1" applyBorder="1" applyAlignment="1">
      <alignment horizontal="center" vertical="center"/>
    </xf>
    <xf numFmtId="0" fontId="44" fillId="4" borderId="24" xfId="0" applyFont="1" applyFill="1" applyBorder="1" applyAlignment="1" applyProtection="1">
      <alignment horizontal="center" vertical="center"/>
      <protection hidden="1"/>
    </xf>
    <xf numFmtId="0" fontId="44" fillId="4" borderId="1" xfId="0" applyFont="1" applyFill="1" applyBorder="1" applyAlignment="1" applyProtection="1">
      <alignment horizontal="center" vertical="center"/>
      <protection hidden="1"/>
    </xf>
    <xf numFmtId="164" fontId="19" fillId="3" borderId="1" xfId="0" applyNumberFormat="1" applyFont="1" applyFill="1" applyBorder="1" applyAlignment="1" applyProtection="1">
      <alignment horizontal="center" vertical="center"/>
      <protection locked="0"/>
    </xf>
    <xf numFmtId="164" fontId="19" fillId="3" borderId="19" xfId="0" applyNumberFormat="1" applyFont="1" applyFill="1" applyBorder="1" applyAlignment="1" applyProtection="1">
      <alignment horizontal="center" vertical="center"/>
      <protection locked="0"/>
    </xf>
    <xf numFmtId="0" fontId="46" fillId="4" borderId="1" xfId="0" applyFont="1" applyFill="1" applyBorder="1" applyAlignment="1" applyProtection="1">
      <alignment horizontal="center" vertical="center"/>
      <protection hidden="1"/>
    </xf>
    <xf numFmtId="0" fontId="44" fillId="4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vertical="center"/>
      <protection hidden="1"/>
    </xf>
    <xf numFmtId="0" fontId="46" fillId="4" borderId="24" xfId="0" applyFont="1" applyFill="1" applyBorder="1" applyAlignment="1" applyProtection="1">
      <alignment horizontal="center" vertical="center"/>
      <protection locked="0"/>
    </xf>
    <xf numFmtId="0" fontId="0" fillId="3" borderId="19" xfId="0" applyFill="1" applyBorder="1" applyAlignment="1" applyProtection="1">
      <alignment vertical="center"/>
      <protection hidden="1"/>
    </xf>
    <xf numFmtId="0" fontId="0" fillId="3" borderId="1" xfId="0" applyNumberFormat="1" applyFill="1" applyBorder="1" applyAlignment="1" applyProtection="1">
      <alignment horizontal="center"/>
      <protection hidden="1"/>
    </xf>
    <xf numFmtId="0" fontId="0" fillId="3" borderId="19" xfId="0" applyNumberFormat="1" applyFill="1" applyBorder="1" applyAlignment="1" applyProtection="1">
      <alignment horizontal="center"/>
      <protection hidden="1"/>
    </xf>
    <xf numFmtId="0" fontId="19" fillId="0" borderId="5" xfId="0" applyFont="1" applyFill="1" applyBorder="1" applyAlignment="1" applyProtection="1">
      <alignment horizontal="center" vertical="center"/>
      <protection hidden="1"/>
    </xf>
    <xf numFmtId="0" fontId="0" fillId="0" borderId="6" xfId="0" applyFill="1" applyBorder="1" applyAlignment="1" applyProtection="1">
      <alignment horizontal="center" vertical="center"/>
      <protection hidden="1"/>
    </xf>
    <xf numFmtId="0" fontId="19" fillId="0" borderId="6" xfId="0" applyFon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0" borderId="0" xfId="0" applyFill="1"/>
    <xf numFmtId="0" fontId="0" fillId="0" borderId="8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left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10" xfId="0" applyNumberFormat="1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0" fontId="19" fillId="0" borderId="9" xfId="0" applyFont="1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center"/>
      <protection hidden="1"/>
    </xf>
    <xf numFmtId="0" fontId="19" fillId="0" borderId="10" xfId="0" applyFont="1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5" xfId="0" applyFill="1" applyBorder="1" applyAlignment="1" applyProtection="1">
      <alignment horizontal="center" vertical="center"/>
      <protection hidden="1"/>
    </xf>
    <xf numFmtId="0" fontId="0" fillId="0" borderId="30" xfId="0" applyFill="1" applyBorder="1" applyAlignment="1" applyProtection="1">
      <alignment horizontal="center" vertical="center"/>
      <protection hidden="1"/>
    </xf>
    <xf numFmtId="0" fontId="0" fillId="0" borderId="31" xfId="0" applyFill="1" applyBorder="1" applyAlignment="1" applyProtection="1">
      <alignment horizontal="center" vertical="center"/>
      <protection hidden="1"/>
    </xf>
    <xf numFmtId="0" fontId="0" fillId="0" borderId="10" xfId="0" applyBorder="1"/>
    <xf numFmtId="164" fontId="0" fillId="3" borderId="1" xfId="0" applyNumberFormat="1" applyFill="1" applyBorder="1" applyAlignment="1" applyProtection="1">
      <alignment horizontal="center" vertical="center"/>
      <protection hidden="1"/>
    </xf>
    <xf numFmtId="164" fontId="0" fillId="3" borderId="4" xfId="0" applyNumberFormat="1" applyFill="1" applyBorder="1" applyAlignment="1" applyProtection="1">
      <alignment horizontal="center" vertical="center"/>
      <protection hidden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41" fillId="0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 applyAlignment="1"/>
    <xf numFmtId="0" fontId="31" fillId="0" borderId="49" xfId="0" applyFont="1" applyBorder="1"/>
    <xf numFmtId="164" fontId="27" fillId="0" borderId="0" xfId="0" applyNumberFormat="1" applyFont="1"/>
    <xf numFmtId="0" fontId="41" fillId="0" borderId="47" xfId="0" applyFont="1" applyBorder="1" applyAlignment="1">
      <alignment horizontal="center" vertical="center"/>
    </xf>
    <xf numFmtId="164" fontId="0" fillId="3" borderId="19" xfId="0" applyNumberFormat="1" applyFill="1" applyBorder="1" applyAlignment="1" applyProtection="1">
      <alignment horizontal="center" vertical="center"/>
      <protection hidden="1"/>
    </xf>
    <xf numFmtId="164" fontId="0" fillId="0" borderId="10" xfId="0" applyNumberFormat="1" applyFill="1" applyBorder="1" applyAlignment="1" applyProtection="1">
      <alignment horizontal="center" vertical="center"/>
      <protection hidden="1"/>
    </xf>
    <xf numFmtId="0" fontId="31" fillId="0" borderId="47" xfId="0" applyFont="1" applyBorder="1" applyAlignment="1">
      <alignment horizontal="center" vertical="center"/>
    </xf>
    <xf numFmtId="0" fontId="31" fillId="0" borderId="47" xfId="0" applyFont="1" applyFill="1" applyBorder="1" applyAlignment="1">
      <alignment horizontal="center" vertical="center"/>
    </xf>
    <xf numFmtId="0" fontId="31" fillId="0" borderId="47" xfId="0" applyFont="1" applyFill="1" applyBorder="1" applyAlignment="1">
      <alignment horizontal="center"/>
    </xf>
    <xf numFmtId="0" fontId="27" fillId="4" borderId="0" xfId="0" applyFont="1" applyFill="1" applyAlignment="1" applyProtection="1">
      <alignment horizontal="center" vertical="center"/>
      <protection hidden="1"/>
    </xf>
    <xf numFmtId="0" fontId="27" fillId="4" borderId="9" xfId="0" applyFont="1" applyFill="1" applyBorder="1" applyAlignment="1" applyProtection="1">
      <alignment horizontal="center" vertical="center"/>
      <protection hidden="1"/>
    </xf>
    <xf numFmtId="0" fontId="31" fillId="0" borderId="5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9" fontId="25" fillId="0" borderId="0" xfId="2" applyFont="1" applyAlignment="1">
      <alignment horizontal="center"/>
    </xf>
    <xf numFmtId="9" fontId="25" fillId="0" borderId="0" xfId="2" applyFont="1" applyBorder="1" applyAlignment="1">
      <alignment horizontal="center" vertical="center"/>
    </xf>
    <xf numFmtId="166" fontId="31" fillId="0" borderId="47" xfId="0" applyNumberFormat="1" applyFont="1" applyBorder="1" applyAlignment="1">
      <alignment horizontal="center" vertical="center"/>
    </xf>
    <xf numFmtId="0" fontId="41" fillId="0" borderId="47" xfId="0" applyFont="1" applyFill="1" applyBorder="1" applyAlignment="1">
      <alignment horizontal="center" vertical="center"/>
    </xf>
    <xf numFmtId="0" fontId="44" fillId="4" borderId="24" xfId="0" applyFont="1" applyFill="1" applyBorder="1" applyAlignment="1" applyProtection="1">
      <alignment horizontal="center" vertical="center"/>
      <protection hidden="1"/>
    </xf>
    <xf numFmtId="0" fontId="31" fillId="0" borderId="0" xfId="0" applyFont="1" applyBorder="1"/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/>
    <xf numFmtId="11" fontId="30" fillId="0" borderId="47" xfId="0" applyNumberFormat="1" applyFont="1" applyBorder="1" applyAlignment="1">
      <alignment horizontal="center" vertical="center"/>
    </xf>
    <xf numFmtId="0" fontId="50" fillId="4" borderId="27" xfId="0" applyFont="1" applyFill="1" applyBorder="1" applyAlignment="1" applyProtection="1">
      <alignment horizontal="center" vertical="center"/>
      <protection hidden="1"/>
    </xf>
    <xf numFmtId="0" fontId="0" fillId="3" borderId="1" xfId="0" applyNumberFormat="1" applyFill="1" applyBorder="1" applyAlignment="1" applyProtection="1">
      <alignment horizontal="center" vertical="center"/>
      <protection hidden="1"/>
    </xf>
    <xf numFmtId="167" fontId="0" fillId="3" borderId="4" xfId="0" applyNumberFormat="1" applyFill="1" applyBorder="1" applyAlignment="1" applyProtection="1">
      <alignment horizontal="center" vertical="center"/>
      <protection hidden="1"/>
    </xf>
    <xf numFmtId="0" fontId="19" fillId="3" borderId="1" xfId="0" applyFont="1" applyFill="1" applyBorder="1" applyAlignment="1" applyProtection="1">
      <alignment horizontal="center" vertical="center"/>
    </xf>
    <xf numFmtId="167" fontId="0" fillId="3" borderId="1" xfId="0" applyNumberFormat="1" applyFill="1" applyBorder="1" applyAlignment="1" applyProtection="1">
      <alignment horizontal="center" vertical="center"/>
      <protection hidden="1"/>
    </xf>
    <xf numFmtId="0" fontId="0" fillId="0" borderId="17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49" fillId="0" borderId="19" xfId="0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0" fontId="0" fillId="0" borderId="5" xfId="0" applyNumberFormat="1" applyBorder="1"/>
    <xf numFmtId="0" fontId="0" fillId="0" borderId="6" xfId="0" applyNumberFormat="1" applyFill="1" applyBorder="1" applyAlignment="1" applyProtection="1">
      <alignment horizontal="center" vertical="center"/>
      <protection hidden="1"/>
    </xf>
    <xf numFmtId="0" fontId="0" fillId="0" borderId="6" xfId="0" applyNumberFormat="1" applyBorder="1"/>
    <xf numFmtId="0" fontId="19" fillId="0" borderId="6" xfId="0" applyNumberFormat="1" applyFont="1" applyFill="1" applyBorder="1" applyAlignment="1" applyProtection="1">
      <alignment horizontal="center" vertic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/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NumberFormat="1"/>
    <xf numFmtId="0" fontId="44" fillId="5" borderId="0" xfId="0" applyNumberFormat="1" applyFont="1" applyFill="1" applyBorder="1" applyAlignment="1">
      <alignment horizontal="center" vertical="center"/>
    </xf>
    <xf numFmtId="0" fontId="0" fillId="6" borderId="8" xfId="0" applyNumberFormat="1" applyFill="1" applyBorder="1" applyAlignment="1">
      <alignment horizontal="center" vertical="center"/>
    </xf>
    <xf numFmtId="0" fontId="0" fillId="0" borderId="9" xfId="0" applyNumberFormat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6" borderId="12" xfId="0" applyNumberFormat="1" applyFill="1" applyBorder="1" applyAlignment="1">
      <alignment horizontal="center" vertical="center"/>
    </xf>
    <xf numFmtId="0" fontId="0" fillId="0" borderId="12" xfId="0" applyNumberFormat="1" applyBorder="1"/>
    <xf numFmtId="0" fontId="0" fillId="0" borderId="13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52" fillId="0" borderId="10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53" fillId="0" borderId="1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9" fontId="25" fillId="0" borderId="0" xfId="2" applyFont="1" applyAlignment="1">
      <alignment horizontal="center" vertical="center"/>
    </xf>
    <xf numFmtId="11" fontId="33" fillId="0" borderId="47" xfId="0" applyNumberFormat="1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Border="1"/>
    <xf numFmtId="0" fontId="3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52" fillId="0" borderId="4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55" fillId="4" borderId="47" xfId="0" applyFont="1" applyFill="1" applyBorder="1" applyAlignment="1">
      <alignment horizontal="right" vertical="center"/>
    </xf>
    <xf numFmtId="0" fontId="0" fillId="0" borderId="51" xfId="0" applyBorder="1" applyAlignment="1">
      <alignment horizontal="center" vertical="center"/>
    </xf>
    <xf numFmtId="0" fontId="27" fillId="4" borderId="47" xfId="0" applyFont="1" applyFill="1" applyBorder="1"/>
    <xf numFmtId="0" fontId="44" fillId="4" borderId="47" xfId="0" applyFont="1" applyFill="1" applyBorder="1" applyAlignment="1">
      <alignment horizontal="center" vertical="center"/>
    </xf>
    <xf numFmtId="0" fontId="44" fillId="4" borderId="50" xfId="0" applyFont="1" applyFill="1" applyBorder="1" applyAlignment="1">
      <alignment horizontal="center" vertical="center"/>
    </xf>
    <xf numFmtId="0" fontId="27" fillId="4" borderId="50" xfId="0" applyFont="1" applyFill="1" applyBorder="1"/>
    <xf numFmtId="0" fontId="27" fillId="4" borderId="52" xfId="0" applyFont="1" applyFill="1" applyBorder="1"/>
    <xf numFmtId="0" fontId="0" fillId="0" borderId="50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hidden="1"/>
    </xf>
    <xf numFmtId="0" fontId="19" fillId="3" borderId="19" xfId="0" applyFont="1" applyFill="1" applyBorder="1" applyAlignment="1" applyProtection="1">
      <alignment horizontal="center" vertical="center"/>
    </xf>
    <xf numFmtId="165" fontId="0" fillId="3" borderId="19" xfId="0" applyNumberFormat="1" applyFill="1" applyBorder="1" applyAlignment="1" applyProtection="1">
      <alignment horizontal="center" vertical="center"/>
      <protection hidden="1"/>
    </xf>
    <xf numFmtId="0" fontId="33" fillId="8" borderId="47" xfId="0" applyFont="1" applyFill="1" applyBorder="1" applyAlignment="1">
      <alignment horizontal="center" vertical="center"/>
    </xf>
    <xf numFmtId="0" fontId="33" fillId="9" borderId="47" xfId="0" applyFont="1" applyFill="1" applyBorder="1" applyAlignment="1">
      <alignment horizontal="center" vertical="center"/>
    </xf>
    <xf numFmtId="0" fontId="33" fillId="2" borderId="47" xfId="0" applyFont="1" applyFill="1" applyBorder="1" applyAlignment="1">
      <alignment horizontal="center" vertical="center"/>
    </xf>
    <xf numFmtId="0" fontId="33" fillId="10" borderId="47" xfId="0" applyFont="1" applyFill="1" applyBorder="1" applyAlignment="1">
      <alignment horizontal="center" vertical="center"/>
    </xf>
    <xf numFmtId="0" fontId="33" fillId="11" borderId="47" xfId="0" applyFont="1" applyFill="1" applyBorder="1" applyAlignment="1">
      <alignment horizontal="center" vertical="center"/>
    </xf>
    <xf numFmtId="0" fontId="33" fillId="12" borderId="47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27" fillId="0" borderId="0" xfId="0" applyFont="1"/>
    <xf numFmtId="0" fontId="54" fillId="0" borderId="0" xfId="0" applyFont="1"/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13" borderId="1" xfId="0" applyFill="1" applyBorder="1" applyAlignment="1" applyProtection="1">
      <alignment horizontal="center" vertical="center"/>
      <protection hidden="1"/>
    </xf>
    <xf numFmtId="0" fontId="0" fillId="13" borderId="17" xfId="0" applyFill="1" applyBorder="1" applyAlignment="1">
      <alignment horizontal="center"/>
    </xf>
    <xf numFmtId="0" fontId="44" fillId="4" borderId="0" xfId="0" applyFont="1" applyFill="1" applyAlignment="1">
      <alignment horizontal="center" vertical="center"/>
    </xf>
    <xf numFmtId="0" fontId="44" fillId="4" borderId="47" xfId="0" applyFont="1" applyFill="1" applyBorder="1"/>
    <xf numFmtId="0" fontId="44" fillId="4" borderId="53" xfId="0" applyFont="1" applyFill="1" applyBorder="1" applyAlignment="1">
      <alignment horizontal="center" vertical="center"/>
    </xf>
    <xf numFmtId="0" fontId="44" fillId="4" borderId="48" xfId="0" applyFont="1" applyFill="1" applyBorder="1" applyAlignment="1">
      <alignment horizontal="center" vertical="center"/>
    </xf>
    <xf numFmtId="0" fontId="44" fillId="4" borderId="54" xfId="0" applyFont="1" applyFill="1" applyBorder="1" applyAlignment="1">
      <alignment horizontal="center" vertical="center"/>
    </xf>
    <xf numFmtId="0" fontId="31" fillId="0" borderId="55" xfId="0" applyFont="1" applyBorder="1" applyAlignment="1">
      <alignment horizontal="center"/>
    </xf>
    <xf numFmtId="0" fontId="31" fillId="0" borderId="56" xfId="0" applyFont="1" applyBorder="1" applyAlignment="1">
      <alignment horizontal="center"/>
    </xf>
    <xf numFmtId="0" fontId="44" fillId="4" borderId="25" xfId="0" applyFont="1" applyFill="1" applyBorder="1" applyAlignment="1" applyProtection="1">
      <alignment horizontal="center" vertical="center"/>
      <protection hidden="1"/>
    </xf>
    <xf numFmtId="0" fontId="44" fillId="4" borderId="29" xfId="0" applyFont="1" applyFill="1" applyBorder="1" applyAlignment="1" applyProtection="1">
      <alignment horizontal="center" vertical="center"/>
      <protection hidden="1"/>
    </xf>
    <xf numFmtId="0" fontId="44" fillId="4" borderId="24" xfId="0" applyFont="1" applyFill="1" applyBorder="1" applyAlignment="1" applyProtection="1">
      <alignment horizontal="center" vertical="center"/>
      <protection hidden="1"/>
    </xf>
    <xf numFmtId="0" fontId="44" fillId="4" borderId="1" xfId="0" applyFont="1" applyFill="1" applyBorder="1" applyAlignment="1" applyProtection="1">
      <alignment horizontal="center" vertical="center"/>
      <protection hidden="1"/>
    </xf>
    <xf numFmtId="0" fontId="45" fillId="4" borderId="27" xfId="0" applyFont="1" applyFill="1" applyBorder="1" applyAlignment="1" applyProtection="1">
      <alignment horizontal="center" vertical="center"/>
      <protection hidden="1"/>
    </xf>
    <xf numFmtId="0" fontId="45" fillId="4" borderId="4" xfId="0" applyFont="1" applyFill="1" applyBorder="1" applyAlignment="1" applyProtection="1">
      <alignment horizontal="center" vertical="center"/>
      <protection hidden="1"/>
    </xf>
    <xf numFmtId="0" fontId="41" fillId="0" borderId="47" xfId="0" applyFont="1" applyBorder="1" applyAlignment="1">
      <alignment horizontal="center"/>
    </xf>
    <xf numFmtId="0" fontId="44" fillId="4" borderId="36" xfId="0" applyFont="1" applyFill="1" applyBorder="1" applyAlignment="1" applyProtection="1">
      <alignment horizontal="center" vertical="center"/>
      <protection hidden="1"/>
    </xf>
    <xf numFmtId="0" fontId="44" fillId="4" borderId="37" xfId="0" applyFont="1" applyFill="1" applyBorder="1" applyAlignment="1" applyProtection="1">
      <alignment horizontal="center" vertical="center"/>
      <protection hidden="1"/>
    </xf>
    <xf numFmtId="0" fontId="41" fillId="0" borderId="47" xfId="0" applyFont="1" applyFill="1" applyBorder="1" applyAlignment="1">
      <alignment horizontal="center" vertical="center"/>
    </xf>
    <xf numFmtId="0" fontId="44" fillId="4" borderId="28" xfId="0" applyFont="1" applyFill="1" applyBorder="1" applyAlignment="1" applyProtection="1">
      <alignment horizontal="center" vertical="center"/>
      <protection hidden="1"/>
    </xf>
    <xf numFmtId="0" fontId="44" fillId="4" borderId="3" xfId="0" applyFont="1" applyFill="1" applyBorder="1" applyAlignment="1" applyProtection="1">
      <alignment horizontal="center" vertical="center"/>
      <protection hidden="1"/>
    </xf>
    <xf numFmtId="0" fontId="41" fillId="0" borderId="0" xfId="0" applyFont="1" applyAlignment="1">
      <alignment horizontal="center" vertical="center"/>
    </xf>
    <xf numFmtId="0" fontId="46" fillId="4" borderId="33" xfId="0" applyFont="1" applyFill="1" applyBorder="1" applyAlignment="1" applyProtection="1">
      <alignment horizontal="center" textRotation="20"/>
      <protection hidden="1"/>
    </xf>
    <xf numFmtId="0" fontId="46" fillId="4" borderId="34" xfId="0" applyFont="1" applyFill="1" applyBorder="1" applyAlignment="1" applyProtection="1">
      <alignment horizontal="center" textRotation="20"/>
      <protection hidden="1"/>
    </xf>
    <xf numFmtId="0" fontId="44" fillId="4" borderId="28" xfId="0" applyFont="1" applyFill="1" applyBorder="1" applyAlignment="1" applyProtection="1">
      <alignment horizontal="center"/>
      <protection hidden="1"/>
    </xf>
    <xf numFmtId="0" fontId="44" fillId="4" borderId="35" xfId="0" applyFont="1" applyFill="1" applyBorder="1" applyAlignment="1" applyProtection="1">
      <alignment horizontal="center"/>
      <protection hidden="1"/>
    </xf>
    <xf numFmtId="0" fontId="0" fillId="0" borderId="0" xfId="0" applyAlignment="1">
      <alignment vertical="center"/>
    </xf>
    <xf numFmtId="0" fontId="57" fillId="4" borderId="0" xfId="0" applyFont="1" applyFill="1" applyBorder="1" applyAlignment="1">
      <alignment horizontal="center" vertical="center"/>
    </xf>
    <xf numFmtId="0" fontId="57" fillId="4" borderId="43" xfId="0" applyFont="1" applyFill="1" applyBorder="1" applyAlignment="1">
      <alignment horizontal="center" vertical="center"/>
    </xf>
    <xf numFmtId="0" fontId="26" fillId="0" borderId="57" xfId="0" applyFont="1" applyBorder="1" applyAlignment="1">
      <alignment horizontal="center"/>
    </xf>
    <xf numFmtId="0" fontId="26" fillId="0" borderId="58" xfId="0" applyFont="1" applyBorder="1" applyAlignment="1">
      <alignment horizontal="center"/>
    </xf>
    <xf numFmtId="0" fontId="26" fillId="0" borderId="59" xfId="0" applyFont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42" xfId="0" applyFont="1" applyBorder="1" applyAlignment="1">
      <alignment horizontal="center" vertical="center" readingOrder="2"/>
    </xf>
    <xf numFmtId="0" fontId="31" fillId="0" borderId="0" xfId="0" applyFont="1" applyBorder="1" applyAlignment="1">
      <alignment horizontal="center" vertical="center" readingOrder="2"/>
    </xf>
    <xf numFmtId="0" fontId="31" fillId="0" borderId="43" xfId="0" applyFont="1" applyBorder="1" applyAlignment="1">
      <alignment horizontal="center" vertical="center" readingOrder="2"/>
    </xf>
    <xf numFmtId="0" fontId="35" fillId="0" borderId="57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1" fillId="0" borderId="57" xfId="0" applyFont="1" applyBorder="1" applyAlignment="1">
      <alignment horizontal="center"/>
    </xf>
    <xf numFmtId="0" fontId="31" fillId="0" borderId="58" xfId="0" applyFont="1" applyBorder="1" applyAlignment="1">
      <alignment horizontal="center"/>
    </xf>
    <xf numFmtId="0" fontId="31" fillId="0" borderId="59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59" xfId="0" applyFont="1" applyBorder="1" applyAlignment="1">
      <alignment horizontal="center"/>
    </xf>
    <xf numFmtId="0" fontId="56" fillId="0" borderId="45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4" fillId="14" borderId="0" xfId="0" applyFont="1" applyFill="1" applyAlignment="1">
      <alignment horizontal="center"/>
    </xf>
    <xf numFmtId="0" fontId="46" fillId="4" borderId="26" xfId="0" applyFont="1" applyFill="1" applyBorder="1" applyAlignment="1" applyProtection="1">
      <alignment horizontal="center" textRotation="20"/>
      <protection hidden="1"/>
    </xf>
    <xf numFmtId="0" fontId="46" fillId="4" borderId="17" xfId="0" applyFont="1" applyFill="1" applyBorder="1" applyAlignment="1" applyProtection="1">
      <alignment horizontal="center" textRotation="20"/>
      <protection hidden="1"/>
    </xf>
    <xf numFmtId="0" fontId="44" fillId="4" borderId="24" xfId="0" applyFont="1" applyFill="1" applyBorder="1" applyAlignment="1" applyProtection="1">
      <alignment horizontal="center"/>
      <protection hidden="1"/>
    </xf>
    <xf numFmtId="0" fontId="44" fillId="4" borderId="53" xfId="0" applyFont="1" applyFill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/>
    </xf>
    <xf numFmtId="0" fontId="31" fillId="0" borderId="5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0" xfId="0" applyFont="1" applyBorder="1" applyAlignment="1">
      <alignment horizontal="center"/>
    </xf>
    <xf numFmtId="0" fontId="31" fillId="0" borderId="47" xfId="0" applyFont="1" applyFill="1" applyBorder="1" applyAlignment="1">
      <alignment horizontal="center" vertical="center"/>
    </xf>
    <xf numFmtId="0" fontId="44" fillId="4" borderId="47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0" fontId="44" fillId="4" borderId="47" xfId="0" applyFont="1" applyFill="1" applyBorder="1" applyAlignment="1">
      <alignment horizontal="center" vertical="center"/>
    </xf>
    <xf numFmtId="0" fontId="44" fillId="4" borderId="3" xfId="0" applyFont="1" applyFill="1" applyBorder="1" applyAlignment="1" applyProtection="1">
      <alignment horizontal="center"/>
      <protection hidden="1"/>
    </xf>
    <xf numFmtId="0" fontId="44" fillId="4" borderId="39" xfId="0" applyFont="1" applyFill="1" applyBorder="1" applyAlignment="1" applyProtection="1">
      <alignment horizontal="center"/>
      <protection hidden="1"/>
    </xf>
    <xf numFmtId="0" fontId="44" fillId="4" borderId="27" xfId="0" applyFont="1" applyFill="1" applyBorder="1" applyAlignment="1" applyProtection="1">
      <alignment horizontal="center" vertical="center"/>
      <protection hidden="1"/>
    </xf>
    <xf numFmtId="0" fontId="44" fillId="4" borderId="38" xfId="0" applyFont="1" applyFill="1" applyBorder="1" applyAlignment="1" applyProtection="1">
      <alignment horizontal="center"/>
      <protection hidden="1"/>
    </xf>
    <xf numFmtId="165" fontId="0" fillId="0" borderId="20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</cellXfs>
  <cellStyles count="3">
    <cellStyle name="Normal" xfId="0" builtinId="0"/>
    <cellStyle name="Percent" xfId="2" builtinId="5"/>
    <cellStyle name="RowLevel_1" xfId="1" builtinId="1" iLevel="0"/>
  </cellStyles>
  <dxfs count="30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20635634973241E-2"/>
          <c:y val="2.3417039413617616E-2"/>
          <c:w val="0.93679032281376162"/>
          <c:h val="0.95447176790535848"/>
        </c:manualLayout>
      </c:layout>
      <c:scatterChart>
        <c:scatterStyle val="lineMarker"/>
        <c:varyColors val="0"/>
        <c:ser>
          <c:idx val="0"/>
          <c:order val="0"/>
          <c:tx>
            <c:v>support-left</c:v>
          </c:tx>
          <c:marker>
            <c:symbol val="none"/>
          </c:marker>
          <c:xVal>
            <c:numRef>
              <c:f>'Gable Frame'!$BD$1:$BD$4</c:f>
              <c:numCache>
                <c:formatCode>General</c:formatCode>
                <c:ptCount val="4"/>
                <c:pt idx="0">
                  <c:v>0</c:v>
                </c:pt>
                <c:pt idx="1">
                  <c:v>-20</c:v>
                </c:pt>
                <c:pt idx="2">
                  <c:v>20</c:v>
                </c:pt>
                <c:pt idx="3">
                  <c:v>0</c:v>
                </c:pt>
              </c:numCache>
            </c:numRef>
          </c:xVal>
          <c:yVal>
            <c:numRef>
              <c:f>'Gable Frame'!$BE$1:$BE$4</c:f>
              <c:numCache>
                <c:formatCode>General</c:formatCode>
                <c:ptCount val="4"/>
                <c:pt idx="0">
                  <c:v>0</c:v>
                </c:pt>
                <c:pt idx="1">
                  <c:v>-20</c:v>
                </c:pt>
                <c:pt idx="2">
                  <c:v>-20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support-right</c:v>
          </c:tx>
          <c:marker>
            <c:symbol val="none"/>
          </c:marker>
          <c:xVal>
            <c:numRef>
              <c:f>'Gable Frame'!$BD$5:$BD$8</c:f>
              <c:numCache>
                <c:formatCode>General</c:formatCode>
                <c:ptCount val="4"/>
                <c:pt idx="0">
                  <c:v>800</c:v>
                </c:pt>
                <c:pt idx="1">
                  <c:v>780</c:v>
                </c:pt>
                <c:pt idx="2">
                  <c:v>820</c:v>
                </c:pt>
                <c:pt idx="3">
                  <c:v>800</c:v>
                </c:pt>
              </c:numCache>
            </c:numRef>
          </c:xVal>
          <c:yVal>
            <c:numRef>
              <c:f>'Gable Frame'!$BE$5:$BE$8</c:f>
              <c:numCache>
                <c:formatCode>General</c:formatCode>
                <c:ptCount val="4"/>
                <c:pt idx="0">
                  <c:v>0</c:v>
                </c:pt>
                <c:pt idx="1">
                  <c:v>-20</c:v>
                </c:pt>
                <c:pt idx="2">
                  <c:v>-20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element-1</c:v>
          </c:tx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ysClr val="window" lastClr="FFFFFF"/>
                </a:solidFill>
                <a:ln w="28575"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spPr>
              <a:ln w="28575">
                <a:solidFill>
                  <a:schemeClr val="accent3">
                    <a:lumMod val="50000"/>
                  </a:schemeClr>
                </a:solidFill>
              </a:ln>
            </c:spPr>
          </c:dPt>
          <c:xVal>
            <c:numRef>
              <c:f>'Gable Frame'!$BF$1:$BF$2</c:f>
              <c:numCache>
                <c:formatCode>General</c:formatCode>
                <c:ptCount val="2"/>
                <c:pt idx="0">
                  <c:v>0</c:v>
                </c:pt>
                <c:pt idx="1">
                  <c:v>30.68950001887865</c:v>
                </c:pt>
              </c:numCache>
            </c:numRef>
          </c:xVal>
          <c:yVal>
            <c:numRef>
              <c:f>'Gable Frame'!$BG$1:$BG$2</c:f>
              <c:numCache>
                <c:formatCode>General</c:formatCode>
                <c:ptCount val="2"/>
                <c:pt idx="0">
                  <c:v>0</c:v>
                </c:pt>
                <c:pt idx="1">
                  <c:v>100.08928571428575</c:v>
                </c:pt>
              </c:numCache>
            </c:numRef>
          </c:yVal>
          <c:smooth val="0"/>
        </c:ser>
        <c:ser>
          <c:idx val="3"/>
          <c:order val="3"/>
          <c:tx>
            <c:v>element-2</c:v>
          </c:tx>
          <c:marker>
            <c:symbol val="none"/>
          </c:marker>
          <c:xVal>
            <c:numRef>
              <c:f>'Gable Frame'!$BF$2:$BF$3</c:f>
              <c:numCache>
                <c:formatCode>General</c:formatCode>
                <c:ptCount val="2"/>
                <c:pt idx="0">
                  <c:v>30.68950001887865</c:v>
                </c:pt>
                <c:pt idx="1">
                  <c:v>59.053084270476674</c:v>
                </c:pt>
              </c:numCache>
            </c:numRef>
          </c:xVal>
          <c:yVal>
            <c:numRef>
              <c:f>'Gable Frame'!$BG$2:$BG$3</c:f>
              <c:numCache>
                <c:formatCode>General</c:formatCode>
                <c:ptCount val="2"/>
                <c:pt idx="0">
                  <c:v>100.08928571428575</c:v>
                </c:pt>
                <c:pt idx="1">
                  <c:v>200.16964285714292</c:v>
                </c:pt>
              </c:numCache>
            </c:numRef>
          </c:yVal>
          <c:smooth val="0"/>
        </c:ser>
        <c:ser>
          <c:idx val="4"/>
          <c:order val="4"/>
          <c:tx>
            <c:v>element-3</c:v>
          </c:tx>
          <c:marker>
            <c:symbol val="none"/>
          </c:marker>
          <c:xVal>
            <c:numRef>
              <c:f>'Gable Frame'!$BF$3:$BF$4</c:f>
              <c:numCache>
                <c:formatCode>General</c:formatCode>
                <c:ptCount val="2"/>
                <c:pt idx="0">
                  <c:v>59.053084270476674</c:v>
                </c:pt>
                <c:pt idx="1">
                  <c:v>84.553422624596053</c:v>
                </c:pt>
              </c:numCache>
            </c:numRef>
          </c:xVal>
          <c:yVal>
            <c:numRef>
              <c:f>'Gable Frame'!$BG$3:$BG$4</c:f>
              <c:numCache>
                <c:formatCode>General</c:formatCode>
                <c:ptCount val="2"/>
                <c:pt idx="0">
                  <c:v>200.16964285714292</c:v>
                </c:pt>
                <c:pt idx="1">
                  <c:v>300.2426948051949</c:v>
                </c:pt>
              </c:numCache>
            </c:numRef>
          </c:yVal>
          <c:smooth val="0"/>
        </c:ser>
        <c:ser>
          <c:idx val="5"/>
          <c:order val="5"/>
          <c:tx>
            <c:v>element-4</c:v>
          </c:tx>
          <c:marker>
            <c:symbol val="none"/>
          </c:marker>
          <c:xVal>
            <c:numRef>
              <c:f>'Gable Frame'!$BF$4:$BF$5</c:f>
              <c:numCache>
                <c:formatCode>General</c:formatCode>
                <c:ptCount val="2"/>
                <c:pt idx="0">
                  <c:v>84.553422624596053</c:v>
                </c:pt>
                <c:pt idx="1">
                  <c:v>107.24324597561561</c:v>
                </c:pt>
              </c:numCache>
            </c:numRef>
          </c:xVal>
          <c:yVal>
            <c:numRef>
              <c:f>'Gable Frame'!$BG$4:$BG$5</c:f>
              <c:numCache>
                <c:formatCode>General</c:formatCode>
                <c:ptCount val="2"/>
                <c:pt idx="0">
                  <c:v>300.2426948051949</c:v>
                </c:pt>
                <c:pt idx="1">
                  <c:v>400.30965909090924</c:v>
                </c:pt>
              </c:numCache>
            </c:numRef>
          </c:yVal>
          <c:smooth val="0"/>
        </c:ser>
        <c:ser>
          <c:idx val="6"/>
          <c:order val="6"/>
          <c:tx>
            <c:v>element-5</c:v>
          </c:tx>
          <c:marker>
            <c:symbol val="none"/>
          </c:marker>
          <c:xVal>
            <c:numRef>
              <c:f>'Gable Frame'!$BF$5:$BF$6</c:f>
              <c:numCache>
                <c:formatCode>General</c:formatCode>
                <c:ptCount val="2"/>
                <c:pt idx="0">
                  <c:v>107.24324597561561</c:v>
                </c:pt>
                <c:pt idx="1">
                  <c:v>211.10138415649897</c:v>
                </c:pt>
              </c:numCache>
            </c:numRef>
          </c:xVal>
          <c:yVal>
            <c:numRef>
              <c:f>'Gable Frame'!$BG$5:$BG$6</c:f>
              <c:numCache>
                <c:formatCode>General</c:formatCode>
                <c:ptCount val="2"/>
                <c:pt idx="0">
                  <c:v>400.30965909090924</c:v>
                </c:pt>
                <c:pt idx="1">
                  <c:v>410.2364460242743</c:v>
                </c:pt>
              </c:numCache>
            </c:numRef>
          </c:yVal>
          <c:smooth val="0"/>
        </c:ser>
        <c:ser>
          <c:idx val="7"/>
          <c:order val="7"/>
          <c:tx>
            <c:v>element-6</c:v>
          </c:tx>
          <c:marker>
            <c:symbol val="none"/>
          </c:marker>
          <c:xVal>
            <c:numRef>
              <c:f>'Gable Frame'!$BF$6:$BF$7</c:f>
              <c:numCache>
                <c:formatCode>General</c:formatCode>
                <c:ptCount val="2"/>
                <c:pt idx="0">
                  <c:v>211.10138415649897</c:v>
                </c:pt>
                <c:pt idx="1">
                  <c:v>312.04762572007468</c:v>
                </c:pt>
              </c:numCache>
            </c:numRef>
          </c:xVal>
          <c:yVal>
            <c:numRef>
              <c:f>'Gable Frame'!$BG$6:$BG$7</c:f>
              <c:numCache>
                <c:formatCode>General</c:formatCode>
                <c:ptCount val="2"/>
                <c:pt idx="0">
                  <c:v>410.2364460242743</c:v>
                </c:pt>
                <c:pt idx="1">
                  <c:v>431.83195705374601</c:v>
                </c:pt>
              </c:numCache>
            </c:numRef>
          </c:yVal>
          <c:smooth val="0"/>
        </c:ser>
        <c:ser>
          <c:idx val="8"/>
          <c:order val="8"/>
          <c:tx>
            <c:v>element-7</c:v>
          </c:tx>
          <c:marker>
            <c:symbol val="none"/>
          </c:marker>
          <c:xVal>
            <c:numRef>
              <c:f>'Gable Frame'!$BF$7:$BF$8</c:f>
              <c:numCache>
                <c:formatCode>General</c:formatCode>
                <c:ptCount val="2"/>
                <c:pt idx="0">
                  <c:v>312.04762572007468</c:v>
                </c:pt>
                <c:pt idx="1">
                  <c:v>410.40236283595431</c:v>
                </c:pt>
              </c:numCache>
            </c:numRef>
          </c:xVal>
          <c:yVal>
            <c:numRef>
              <c:f>'Gable Frame'!$BG$7:$BG$8</c:f>
              <c:numCache>
                <c:formatCode>General</c:formatCode>
                <c:ptCount val="2"/>
                <c:pt idx="0">
                  <c:v>431.83195705374601</c:v>
                </c:pt>
                <c:pt idx="1">
                  <c:v>463.81726570423808</c:v>
                </c:pt>
              </c:numCache>
            </c:numRef>
          </c:yVal>
          <c:smooth val="0"/>
        </c:ser>
        <c:ser>
          <c:idx val="9"/>
          <c:order val="9"/>
          <c:tx>
            <c:v>element-8</c:v>
          </c:tx>
          <c:marker>
            <c:symbol val="none"/>
          </c:marker>
          <c:xVal>
            <c:numRef>
              <c:f>'Gable Frame'!$BF$8:$BF$9</c:f>
              <c:numCache>
                <c:formatCode>General</c:formatCode>
                <c:ptCount val="2"/>
                <c:pt idx="0">
                  <c:v>410.40236283595431</c:v>
                </c:pt>
                <c:pt idx="1">
                  <c:v>507.58703076448387</c:v>
                </c:pt>
              </c:numCache>
            </c:numRef>
          </c:xVal>
          <c:yVal>
            <c:numRef>
              <c:f>'Gable Frame'!$BG$8:$BG$9</c:f>
              <c:numCache>
                <c:formatCode>General</c:formatCode>
                <c:ptCount val="2"/>
                <c:pt idx="0">
                  <c:v>463.81726570423808</c:v>
                </c:pt>
                <c:pt idx="1">
                  <c:v>500.4828511041303</c:v>
                </c:pt>
              </c:numCache>
            </c:numRef>
          </c:yVal>
          <c:smooth val="0"/>
        </c:ser>
        <c:ser>
          <c:idx val="10"/>
          <c:order val="10"/>
          <c:tx>
            <c:v>element-9</c:v>
          </c:tx>
          <c:marker>
            <c:symbol val="none"/>
          </c:marker>
          <c:xVal>
            <c:numRef>
              <c:f>'Gable Frame'!$BF$9:$BF$10</c:f>
              <c:numCache>
                <c:formatCode>General</c:formatCode>
                <c:ptCount val="2"/>
                <c:pt idx="0">
                  <c:v>507.58703076448387</c:v>
                </c:pt>
                <c:pt idx="1">
                  <c:v>610.22789907381389</c:v>
                </c:pt>
              </c:numCache>
            </c:numRef>
          </c:xVal>
          <c:yVal>
            <c:numRef>
              <c:f>'Gable Frame'!$BG$9:$BG$10</c:f>
              <c:numCache>
                <c:formatCode>General</c:formatCode>
                <c:ptCount val="2"/>
                <c:pt idx="0">
                  <c:v>500.4828511041303</c:v>
                </c:pt>
                <c:pt idx="1">
                  <c:v>486.31368231044587</c:v>
                </c:pt>
              </c:numCache>
            </c:numRef>
          </c:yVal>
          <c:smooth val="0"/>
        </c:ser>
        <c:ser>
          <c:idx val="11"/>
          <c:order val="11"/>
          <c:tx>
            <c:v>element-10</c:v>
          </c:tx>
          <c:marker>
            <c:symbol val="none"/>
          </c:marker>
          <c:xVal>
            <c:numRef>
              <c:f>'Gable Frame'!$BF$10:$BF$11</c:f>
              <c:numCache>
                <c:formatCode>General</c:formatCode>
                <c:ptCount val="2"/>
                <c:pt idx="0">
                  <c:v>610.22789907381389</c:v>
                </c:pt>
                <c:pt idx="1">
                  <c:v>711.67302627209688</c:v>
                </c:pt>
              </c:numCache>
            </c:numRef>
          </c:xVal>
          <c:yVal>
            <c:numRef>
              <c:f>'Gable Frame'!$BG$10:$BG$11</c:f>
              <c:numCache>
                <c:formatCode>General</c:formatCode>
                <c:ptCount val="2"/>
                <c:pt idx="0">
                  <c:v>486.31368231044587</c:v>
                </c:pt>
                <c:pt idx="1">
                  <c:v>467.47163764804185</c:v>
                </c:pt>
              </c:numCache>
            </c:numRef>
          </c:yVal>
          <c:smooth val="0"/>
        </c:ser>
        <c:ser>
          <c:idx val="12"/>
          <c:order val="12"/>
          <c:tx>
            <c:v>element-11</c:v>
          </c:tx>
          <c:marker>
            <c:symbol val="none"/>
          </c:marker>
          <c:xVal>
            <c:numRef>
              <c:f>'Gable Frame'!$BF$11:$BF$12</c:f>
              <c:numCache>
                <c:formatCode>General</c:formatCode>
                <c:ptCount val="2"/>
                <c:pt idx="0">
                  <c:v>711.67302627209688</c:v>
                </c:pt>
                <c:pt idx="1">
                  <c:v>810.75207052278438</c:v>
                </c:pt>
              </c:numCache>
            </c:numRef>
          </c:xVal>
          <c:yVal>
            <c:numRef>
              <c:f>'Gable Frame'!$BG$11:$BG$12</c:f>
              <c:numCache>
                <c:formatCode>General</c:formatCode>
                <c:ptCount val="2"/>
                <c:pt idx="0">
                  <c:v>467.47163764804185</c:v>
                </c:pt>
                <c:pt idx="1">
                  <c:v>439.14429194278603</c:v>
                </c:pt>
              </c:numCache>
            </c:numRef>
          </c:yVal>
          <c:smooth val="0"/>
        </c:ser>
        <c:ser>
          <c:idx val="13"/>
          <c:order val="13"/>
          <c:tx>
            <c:v>element-12</c:v>
          </c:tx>
          <c:marker>
            <c:symbol val="none"/>
          </c:marker>
          <c:xVal>
            <c:numRef>
              <c:f>'Gable Frame'!$BF$12:$BF$13</c:f>
              <c:numCache>
                <c:formatCode>General</c:formatCode>
                <c:ptCount val="2"/>
                <c:pt idx="0">
                  <c:v>810.75207052278438</c:v>
                </c:pt>
                <c:pt idx="1">
                  <c:v>907.06093229658086</c:v>
                </c:pt>
              </c:numCache>
            </c:numRef>
          </c:xVal>
          <c:yVal>
            <c:numRef>
              <c:f>'Gable Frame'!$BG$12:$BG$13</c:f>
              <c:numCache>
                <c:formatCode>General</c:formatCode>
                <c:ptCount val="2"/>
                <c:pt idx="0">
                  <c:v>439.14429194278603</c:v>
                </c:pt>
                <c:pt idx="1">
                  <c:v>399.73621632996617</c:v>
                </c:pt>
              </c:numCache>
            </c:numRef>
          </c:yVal>
          <c:smooth val="0"/>
        </c:ser>
        <c:ser>
          <c:idx val="14"/>
          <c:order val="14"/>
          <c:tx>
            <c:v>element-13</c:v>
          </c:tx>
          <c:marker>
            <c:symbol val="none"/>
          </c:marker>
          <c:xVal>
            <c:numRef>
              <c:f>'Gable Frame'!$BF$13:$BF$14</c:f>
              <c:numCache>
                <c:formatCode>General</c:formatCode>
                <c:ptCount val="2"/>
                <c:pt idx="0">
                  <c:v>907.06093229658086</c:v>
                </c:pt>
                <c:pt idx="1">
                  <c:v>884.58276025619909</c:v>
                </c:pt>
              </c:numCache>
            </c:numRef>
          </c:xVal>
          <c:yVal>
            <c:numRef>
              <c:f>'Gable Frame'!$BG$13:$BG$14</c:f>
              <c:numCache>
                <c:formatCode>General</c:formatCode>
                <c:ptCount val="2"/>
                <c:pt idx="0">
                  <c:v>399.73621632996617</c:v>
                </c:pt>
                <c:pt idx="1">
                  <c:v>299.79325998075984</c:v>
                </c:pt>
              </c:numCache>
            </c:numRef>
          </c:yVal>
          <c:smooth val="0"/>
        </c:ser>
        <c:ser>
          <c:idx val="15"/>
          <c:order val="15"/>
          <c:tx>
            <c:v>element-14</c:v>
          </c:tx>
          <c:marker>
            <c:symbol val="none"/>
          </c:marker>
          <c:xVal>
            <c:numRef>
              <c:f>'Gable Frame'!$BF$14:$BF$15</c:f>
              <c:numCache>
                <c:formatCode>General</c:formatCode>
                <c:ptCount val="2"/>
                <c:pt idx="0">
                  <c:v>884.58276025619909</c:v>
                </c:pt>
                <c:pt idx="1">
                  <c:v>859.18081145722567</c:v>
                </c:pt>
              </c:numCache>
            </c:numRef>
          </c:xVal>
          <c:yVal>
            <c:numRef>
              <c:f>'Gable Frame'!$BG$14:$BG$15</c:f>
              <c:numCache>
                <c:formatCode>General</c:formatCode>
                <c:ptCount val="2"/>
                <c:pt idx="0">
                  <c:v>299.79325998075984</c:v>
                </c:pt>
                <c:pt idx="1">
                  <c:v>199.85548941798933</c:v>
                </c:pt>
              </c:numCache>
            </c:numRef>
          </c:yVal>
          <c:smooth val="0"/>
        </c:ser>
        <c:ser>
          <c:idx val="16"/>
          <c:order val="16"/>
          <c:tx>
            <c:v>element-15</c:v>
          </c:tx>
          <c:marker>
            <c:symbol val="none"/>
          </c:marker>
          <c:xVal>
            <c:numRef>
              <c:f>'Gable Frame'!$BF$15:$BF$16</c:f>
              <c:numCache>
                <c:formatCode>General</c:formatCode>
                <c:ptCount val="2"/>
                <c:pt idx="0">
                  <c:v>859.18081145722567</c:v>
                </c:pt>
                <c:pt idx="1">
                  <c:v>830.80022998774621</c:v>
                </c:pt>
              </c:numCache>
            </c:numRef>
          </c:xVal>
          <c:yVal>
            <c:numRef>
              <c:f>'Gable Frame'!$BG$15:$BG$16</c:f>
              <c:numCache>
                <c:formatCode>General</c:formatCode>
                <c:ptCount val="2"/>
                <c:pt idx="0">
                  <c:v>199.85548941798933</c:v>
                </c:pt>
                <c:pt idx="1">
                  <c:v>99.923941798941755</c:v>
                </c:pt>
              </c:numCache>
            </c:numRef>
          </c:yVal>
          <c:smooth val="0"/>
        </c:ser>
        <c:ser>
          <c:idx val="17"/>
          <c:order val="17"/>
          <c:tx>
            <c:v>element-16</c:v>
          </c:tx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ysClr val="window" lastClr="FFFFFF"/>
                </a:solidFill>
              </c:spPr>
            </c:marker>
            <c:bubble3D val="0"/>
          </c:dPt>
          <c:xVal>
            <c:numRef>
              <c:f>'Gable Frame'!$BF$16:$BF$17</c:f>
              <c:numCache>
                <c:formatCode>General</c:formatCode>
                <c:ptCount val="2"/>
                <c:pt idx="0">
                  <c:v>830.80022998774621</c:v>
                </c:pt>
                <c:pt idx="1">
                  <c:v>800</c:v>
                </c:pt>
              </c:numCache>
            </c:numRef>
          </c:xVal>
          <c:yVal>
            <c:numRef>
              <c:f>'Gable Frame'!$BG$16:$BG$17</c:f>
              <c:numCache>
                <c:formatCode>General</c:formatCode>
                <c:ptCount val="2"/>
                <c:pt idx="0">
                  <c:v>99.923941798941755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24000"/>
        <c:axId val="409723216"/>
      </c:scatterChart>
      <c:valAx>
        <c:axId val="4097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723216"/>
        <c:crosses val="autoZero"/>
        <c:crossBetween val="midCat"/>
      </c:valAx>
      <c:valAx>
        <c:axId val="40972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72400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133350</xdr:rowOff>
    </xdr:from>
    <xdr:to>
      <xdr:col>10</xdr:col>
      <xdr:colOff>571500</xdr:colOff>
      <xdr:row>10</xdr:row>
      <xdr:rowOff>19050</xdr:rowOff>
    </xdr:to>
    <xdr:sp macro="" textlink="">
      <xdr:nvSpPr>
        <xdr:cNvPr id="2" name="Rectangle 1"/>
        <xdr:cNvSpPr/>
      </xdr:nvSpPr>
      <xdr:spPr>
        <a:xfrm>
          <a:off x="3952875" y="133350"/>
          <a:ext cx="3914775" cy="17430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457200</xdr:colOff>
      <xdr:row>4</xdr:row>
      <xdr:rowOff>142875</xdr:rowOff>
    </xdr:from>
    <xdr:to>
      <xdr:col>9</xdr:col>
      <xdr:colOff>190500</xdr:colOff>
      <xdr:row>4</xdr:row>
      <xdr:rowOff>144463</xdr:rowOff>
    </xdr:to>
    <xdr:cxnSp macro="">
      <xdr:nvCxnSpPr>
        <xdr:cNvPr id="4" name="Straight Connector 3"/>
        <xdr:cNvCxnSpPr/>
      </xdr:nvCxnSpPr>
      <xdr:spPr>
        <a:xfrm>
          <a:off x="4314825" y="904875"/>
          <a:ext cx="2438400" cy="158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</xdr:row>
      <xdr:rowOff>142875</xdr:rowOff>
    </xdr:from>
    <xdr:to>
      <xdr:col>5</xdr:col>
      <xdr:colOff>514350</xdr:colOff>
      <xdr:row>6</xdr:row>
      <xdr:rowOff>38100</xdr:rowOff>
    </xdr:to>
    <xdr:sp macro="" textlink="">
      <xdr:nvSpPr>
        <xdr:cNvPr id="5" name="Isosceles Triangle 4"/>
        <xdr:cNvSpPr/>
      </xdr:nvSpPr>
      <xdr:spPr>
        <a:xfrm>
          <a:off x="4257675" y="904875"/>
          <a:ext cx="123825" cy="266700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9</xdr:col>
      <xdr:colOff>104776</xdr:colOff>
      <xdr:row>4</xdr:row>
      <xdr:rowOff>152400</xdr:rowOff>
    </xdr:from>
    <xdr:to>
      <xdr:col>9</xdr:col>
      <xdr:colOff>266701</xdr:colOff>
      <xdr:row>5</xdr:row>
      <xdr:rowOff>133350</xdr:rowOff>
    </xdr:to>
    <xdr:sp macro="" textlink="">
      <xdr:nvSpPr>
        <xdr:cNvPr id="6" name="Oval 5"/>
        <xdr:cNvSpPr/>
      </xdr:nvSpPr>
      <xdr:spPr>
        <a:xfrm>
          <a:off x="6657976" y="914400"/>
          <a:ext cx="190500" cy="1619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9</xdr:col>
      <xdr:colOff>38100</xdr:colOff>
      <xdr:row>5</xdr:row>
      <xdr:rowOff>142875</xdr:rowOff>
    </xdr:from>
    <xdr:to>
      <xdr:col>9</xdr:col>
      <xdr:colOff>371475</xdr:colOff>
      <xdr:row>5</xdr:row>
      <xdr:rowOff>144463</xdr:rowOff>
    </xdr:to>
    <xdr:cxnSp macro="">
      <xdr:nvCxnSpPr>
        <xdr:cNvPr id="8" name="Straight Connector 7"/>
        <xdr:cNvCxnSpPr/>
      </xdr:nvCxnSpPr>
      <xdr:spPr>
        <a:xfrm>
          <a:off x="6581775" y="1085850"/>
          <a:ext cx="371475" cy="1588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3</xdr:row>
      <xdr:rowOff>95250</xdr:rowOff>
    </xdr:from>
    <xdr:to>
      <xdr:col>9</xdr:col>
      <xdr:colOff>161925</xdr:colOff>
      <xdr:row>4</xdr:row>
      <xdr:rowOff>114300</xdr:rowOff>
    </xdr:to>
    <xdr:sp macro="" textlink="">
      <xdr:nvSpPr>
        <xdr:cNvPr id="9" name="Rectangle 8"/>
        <xdr:cNvSpPr/>
      </xdr:nvSpPr>
      <xdr:spPr>
        <a:xfrm>
          <a:off x="4333875" y="666750"/>
          <a:ext cx="2390775" cy="20955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7</xdr:col>
      <xdr:colOff>295275</xdr:colOff>
      <xdr:row>2</xdr:row>
      <xdr:rowOff>133350</xdr:rowOff>
    </xdr:from>
    <xdr:to>
      <xdr:col>8</xdr:col>
      <xdr:colOff>38100</xdr:colOff>
      <xdr:row>3</xdr:row>
      <xdr:rowOff>76200</xdr:rowOff>
    </xdr:to>
    <xdr:sp macro="" textlink="">
      <xdr:nvSpPr>
        <xdr:cNvPr id="10" name="TextBox 9"/>
        <xdr:cNvSpPr txBox="1"/>
      </xdr:nvSpPr>
      <xdr:spPr>
        <a:xfrm>
          <a:off x="5505450" y="514350"/>
          <a:ext cx="39052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/>
            <a:t>w</a:t>
          </a:r>
          <a:endParaRPr lang="fa-IR" sz="1400" b="1"/>
        </a:p>
      </xdr:txBody>
    </xdr:sp>
    <xdr:clientData/>
  </xdr:twoCellAnchor>
  <xdr:twoCellAnchor>
    <xdr:from>
      <xdr:col>5</xdr:col>
      <xdr:colOff>447675</xdr:colOff>
      <xdr:row>6</xdr:row>
      <xdr:rowOff>161925</xdr:rowOff>
    </xdr:from>
    <xdr:to>
      <xdr:col>9</xdr:col>
      <xdr:colOff>257175</xdr:colOff>
      <xdr:row>6</xdr:row>
      <xdr:rowOff>171450</xdr:rowOff>
    </xdr:to>
    <xdr:cxnSp macro="">
      <xdr:nvCxnSpPr>
        <xdr:cNvPr id="12" name="Straight Arrow Connector 11"/>
        <xdr:cNvCxnSpPr/>
      </xdr:nvCxnSpPr>
      <xdr:spPr>
        <a:xfrm>
          <a:off x="4305300" y="1285875"/>
          <a:ext cx="25241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6</xdr:row>
      <xdr:rowOff>38100</xdr:rowOff>
    </xdr:from>
    <xdr:to>
      <xdr:col>7</xdr:col>
      <xdr:colOff>571500</xdr:colOff>
      <xdr:row>7</xdr:row>
      <xdr:rowOff>57150</xdr:rowOff>
    </xdr:to>
    <xdr:sp macro="" textlink="">
      <xdr:nvSpPr>
        <xdr:cNvPr id="14" name="TextBox 13"/>
        <xdr:cNvSpPr txBox="1"/>
      </xdr:nvSpPr>
      <xdr:spPr>
        <a:xfrm>
          <a:off x="5372100" y="1171575"/>
          <a:ext cx="44767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/>
            <a:t>L</a:t>
          </a:r>
          <a:endParaRPr lang="fa-IR" sz="1400" b="1"/>
        </a:p>
      </xdr:txBody>
    </xdr:sp>
    <xdr:clientData/>
  </xdr:twoCellAnchor>
  <xdr:twoCellAnchor>
    <xdr:from>
      <xdr:col>5</xdr:col>
      <xdr:colOff>456406</xdr:colOff>
      <xdr:row>6</xdr:row>
      <xdr:rowOff>57944</xdr:rowOff>
    </xdr:from>
    <xdr:to>
      <xdr:col>5</xdr:col>
      <xdr:colOff>457994</xdr:colOff>
      <xdr:row>7</xdr:row>
      <xdr:rowOff>67469</xdr:rowOff>
    </xdr:to>
    <xdr:cxnSp macro="">
      <xdr:nvCxnSpPr>
        <xdr:cNvPr id="18" name="Straight Connector 17"/>
        <xdr:cNvCxnSpPr/>
      </xdr:nvCxnSpPr>
      <xdr:spPr>
        <a:xfrm rot="5400000">
          <a:off x="4219575" y="1285875"/>
          <a:ext cx="1905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256381</xdr:colOff>
      <xdr:row>6</xdr:row>
      <xdr:rowOff>67469</xdr:rowOff>
    </xdr:from>
    <xdr:to>
      <xdr:col>9</xdr:col>
      <xdr:colOff>257969</xdr:colOff>
      <xdr:row>7</xdr:row>
      <xdr:rowOff>76994</xdr:rowOff>
    </xdr:to>
    <xdr:cxnSp macro="">
      <xdr:nvCxnSpPr>
        <xdr:cNvPr id="20" name="Straight Connector 19"/>
        <xdr:cNvCxnSpPr/>
      </xdr:nvCxnSpPr>
      <xdr:spPr>
        <a:xfrm rot="5400000">
          <a:off x="6734175" y="1295400"/>
          <a:ext cx="1905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3</xdr:row>
      <xdr:rowOff>47625</xdr:rowOff>
    </xdr:from>
    <xdr:to>
      <xdr:col>10</xdr:col>
      <xdr:colOff>123825</xdr:colOff>
      <xdr:row>4</xdr:row>
      <xdr:rowOff>180975</xdr:rowOff>
    </xdr:to>
    <xdr:sp macro="" textlink="">
      <xdr:nvSpPr>
        <xdr:cNvPr id="22" name="Rectangle 21"/>
        <xdr:cNvSpPr/>
      </xdr:nvSpPr>
      <xdr:spPr>
        <a:xfrm>
          <a:off x="7115175" y="619125"/>
          <a:ext cx="257175" cy="3238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10</xdr:col>
      <xdr:colOff>275432</xdr:colOff>
      <xdr:row>3</xdr:row>
      <xdr:rowOff>38893</xdr:rowOff>
    </xdr:from>
    <xdr:to>
      <xdr:col>10</xdr:col>
      <xdr:colOff>277020</xdr:colOff>
      <xdr:row>5</xdr:row>
      <xdr:rowOff>10318</xdr:rowOff>
    </xdr:to>
    <xdr:cxnSp macro="">
      <xdr:nvCxnSpPr>
        <xdr:cNvPr id="26" name="Straight Arrow Connector 25"/>
        <xdr:cNvCxnSpPr/>
      </xdr:nvCxnSpPr>
      <xdr:spPr>
        <a:xfrm rot="5400000">
          <a:off x="7367588" y="785812"/>
          <a:ext cx="3524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5</xdr:row>
      <xdr:rowOff>161925</xdr:rowOff>
    </xdr:from>
    <xdr:to>
      <xdr:col>10</xdr:col>
      <xdr:colOff>152400</xdr:colOff>
      <xdr:row>5</xdr:row>
      <xdr:rowOff>163513</xdr:rowOff>
    </xdr:to>
    <xdr:cxnSp macro="">
      <xdr:nvCxnSpPr>
        <xdr:cNvPr id="28" name="Straight Arrow Connector 27"/>
        <xdr:cNvCxnSpPr/>
      </xdr:nvCxnSpPr>
      <xdr:spPr>
        <a:xfrm>
          <a:off x="7105650" y="1104900"/>
          <a:ext cx="2952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3</xdr:row>
      <xdr:rowOff>133350</xdr:rowOff>
    </xdr:from>
    <xdr:to>
      <xdr:col>10</xdr:col>
      <xdr:colOff>314325</xdr:colOff>
      <xdr:row>4</xdr:row>
      <xdr:rowOff>95250</xdr:rowOff>
    </xdr:to>
    <xdr:sp macro="" textlink="">
      <xdr:nvSpPr>
        <xdr:cNvPr id="29" name="TextBox 28"/>
        <xdr:cNvSpPr txBox="1"/>
      </xdr:nvSpPr>
      <xdr:spPr>
        <a:xfrm>
          <a:off x="7477125" y="704850"/>
          <a:ext cx="104775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100" b="1"/>
            <a:t>h</a:t>
          </a:r>
          <a:endParaRPr lang="fa-IR" sz="1100" b="1"/>
        </a:p>
      </xdr:txBody>
    </xdr:sp>
    <xdr:clientData/>
  </xdr:twoCellAnchor>
  <xdr:twoCellAnchor>
    <xdr:from>
      <xdr:col>9</xdr:col>
      <xdr:colOff>571499</xdr:colOff>
      <xdr:row>5</xdr:row>
      <xdr:rowOff>38100</xdr:rowOff>
    </xdr:from>
    <xdr:to>
      <xdr:col>10</xdr:col>
      <xdr:colOff>57150</xdr:colOff>
      <xdr:row>6</xdr:row>
      <xdr:rowOff>76201</xdr:rowOff>
    </xdr:to>
    <xdr:sp macro="" textlink="">
      <xdr:nvSpPr>
        <xdr:cNvPr id="30" name="TextBox 29"/>
        <xdr:cNvSpPr txBox="1"/>
      </xdr:nvSpPr>
      <xdr:spPr>
        <a:xfrm>
          <a:off x="7181849" y="990600"/>
          <a:ext cx="114301" cy="219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100" b="1"/>
            <a:t>b</a:t>
          </a:r>
          <a:endParaRPr lang="fa-I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584718</xdr:colOff>
      <xdr:row>13</xdr:row>
      <xdr:rowOff>68036</xdr:rowOff>
    </xdr:from>
    <xdr:to>
      <xdr:col>2</xdr:col>
      <xdr:colOff>214410</xdr:colOff>
      <xdr:row>13</xdr:row>
      <xdr:rowOff>184668</xdr:rowOff>
    </xdr:to>
    <xdr:cxnSp macro="">
      <xdr:nvCxnSpPr>
        <xdr:cNvPr id="3" name="Straight Arrow Connector 2"/>
        <xdr:cNvCxnSpPr/>
      </xdr:nvCxnSpPr>
      <xdr:spPr>
        <a:xfrm flipV="1">
          <a:off x="1350995" y="2196582"/>
          <a:ext cx="272143" cy="1069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2</xdr:row>
      <xdr:rowOff>142875</xdr:rowOff>
    </xdr:from>
    <xdr:to>
      <xdr:col>9</xdr:col>
      <xdr:colOff>200025</xdr:colOff>
      <xdr:row>16</xdr:row>
      <xdr:rowOff>57150</xdr:rowOff>
    </xdr:to>
    <xdr:sp macro="" textlink="">
      <xdr:nvSpPr>
        <xdr:cNvPr id="4" name="Rectangle 3"/>
        <xdr:cNvSpPr/>
      </xdr:nvSpPr>
      <xdr:spPr>
        <a:xfrm>
          <a:off x="3829050" y="523875"/>
          <a:ext cx="3152775" cy="25431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219076</xdr:colOff>
      <xdr:row>5</xdr:row>
      <xdr:rowOff>19049</xdr:rowOff>
    </xdr:from>
    <xdr:to>
      <xdr:col>6</xdr:col>
      <xdr:colOff>561976</xdr:colOff>
      <xdr:row>12</xdr:row>
      <xdr:rowOff>66674</xdr:rowOff>
    </xdr:to>
    <xdr:cxnSp macro="">
      <xdr:nvCxnSpPr>
        <xdr:cNvPr id="6" name="Straight Connector 5"/>
        <xdr:cNvCxnSpPr/>
      </xdr:nvCxnSpPr>
      <xdr:spPr>
        <a:xfrm rot="16200000" flipH="1">
          <a:off x="4100513" y="1128712"/>
          <a:ext cx="1381125" cy="1066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5</xdr:row>
      <xdr:rowOff>28575</xdr:rowOff>
    </xdr:from>
    <xdr:to>
      <xdr:col>8</xdr:col>
      <xdr:colOff>219075</xdr:colOff>
      <xdr:row>12</xdr:row>
      <xdr:rowOff>85725</xdr:rowOff>
    </xdr:to>
    <xdr:cxnSp macro="">
      <xdr:nvCxnSpPr>
        <xdr:cNvPr id="8" name="Straight Connector 7"/>
        <xdr:cNvCxnSpPr/>
      </xdr:nvCxnSpPr>
      <xdr:spPr>
        <a:xfrm rot="5400000" flipH="1" flipV="1">
          <a:off x="5124450" y="1181100"/>
          <a:ext cx="1390650" cy="990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4</xdr:row>
      <xdr:rowOff>180975</xdr:rowOff>
    </xdr:from>
    <xdr:to>
      <xdr:col>5</xdr:col>
      <xdr:colOff>245744</xdr:colOff>
      <xdr:row>5</xdr:row>
      <xdr:rowOff>66675</xdr:rowOff>
    </xdr:to>
    <xdr:sp macro="" textlink="">
      <xdr:nvSpPr>
        <xdr:cNvPr id="9" name="Flowchart: Connector 8"/>
        <xdr:cNvSpPr/>
      </xdr:nvSpPr>
      <xdr:spPr>
        <a:xfrm>
          <a:off x="4238625" y="942975"/>
          <a:ext cx="45719" cy="76200"/>
        </a:xfrm>
        <a:prstGeom prst="flowChartConnector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8</xdr:col>
      <xdr:colOff>190500</xdr:colOff>
      <xdr:row>4</xdr:row>
      <xdr:rowOff>152400</xdr:rowOff>
    </xdr:from>
    <xdr:to>
      <xdr:col>8</xdr:col>
      <xdr:colOff>236219</xdr:colOff>
      <xdr:row>5</xdr:row>
      <xdr:rowOff>38100</xdr:rowOff>
    </xdr:to>
    <xdr:sp macro="" textlink="">
      <xdr:nvSpPr>
        <xdr:cNvPr id="10" name="Flowchart: Connector 9"/>
        <xdr:cNvSpPr/>
      </xdr:nvSpPr>
      <xdr:spPr>
        <a:xfrm>
          <a:off x="6286500" y="914400"/>
          <a:ext cx="45719" cy="76200"/>
        </a:xfrm>
        <a:prstGeom prst="flowChartConnector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6</xdr:col>
      <xdr:colOff>504825</xdr:colOff>
      <xdr:row>12</xdr:row>
      <xdr:rowOff>9525</xdr:rowOff>
    </xdr:from>
    <xdr:to>
      <xdr:col>7</xdr:col>
      <xdr:colOff>0</xdr:colOff>
      <xdr:row>12</xdr:row>
      <xdr:rowOff>133350</xdr:rowOff>
    </xdr:to>
    <xdr:sp macro="" textlink="">
      <xdr:nvSpPr>
        <xdr:cNvPr id="11" name="Flowchart: Connector 10"/>
        <xdr:cNvSpPr/>
      </xdr:nvSpPr>
      <xdr:spPr>
        <a:xfrm>
          <a:off x="5267325" y="2295525"/>
          <a:ext cx="114300" cy="114300"/>
        </a:xfrm>
        <a:prstGeom prst="flowChartConnector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6</xdr:col>
      <xdr:colOff>552451</xdr:colOff>
      <xdr:row>12</xdr:row>
      <xdr:rowOff>85725</xdr:rowOff>
    </xdr:from>
    <xdr:to>
      <xdr:col>6</xdr:col>
      <xdr:colOff>552451</xdr:colOff>
      <xdr:row>14</xdr:row>
      <xdr:rowOff>123825</xdr:rowOff>
    </xdr:to>
    <xdr:cxnSp macro="">
      <xdr:nvCxnSpPr>
        <xdr:cNvPr id="15" name="Straight Arrow Connector 14"/>
        <xdr:cNvCxnSpPr/>
      </xdr:nvCxnSpPr>
      <xdr:spPr>
        <a:xfrm rot="5400000">
          <a:off x="5124451" y="2562225"/>
          <a:ext cx="3905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14</xdr:row>
      <xdr:rowOff>133351</xdr:rowOff>
    </xdr:from>
    <xdr:to>
      <xdr:col>7</xdr:col>
      <xdr:colOff>114300</xdr:colOff>
      <xdr:row>15</xdr:row>
      <xdr:rowOff>38100</xdr:rowOff>
    </xdr:to>
    <xdr:sp macro="" textlink="">
      <xdr:nvSpPr>
        <xdr:cNvPr id="16" name="TextBox 15"/>
        <xdr:cNvSpPr txBox="1"/>
      </xdr:nvSpPr>
      <xdr:spPr>
        <a:xfrm>
          <a:off x="5153025" y="2771776"/>
          <a:ext cx="361950" cy="9524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t"/>
        <a:lstStyle/>
        <a:p>
          <a:r>
            <a:rPr lang="en-US" sz="1100" b="1"/>
            <a:t>W</a:t>
          </a:r>
          <a:endParaRPr lang="fa-IR" sz="1100" b="1"/>
        </a:p>
      </xdr:txBody>
    </xdr:sp>
    <xdr:clientData/>
  </xdr:twoCellAnchor>
  <xdr:twoCellAnchor>
    <xdr:from>
      <xdr:col>5</xdr:col>
      <xdr:colOff>133350</xdr:colOff>
      <xdr:row>4</xdr:row>
      <xdr:rowOff>161925</xdr:rowOff>
    </xdr:from>
    <xdr:to>
      <xdr:col>5</xdr:col>
      <xdr:colOff>352425</xdr:colOff>
      <xdr:row>4</xdr:row>
      <xdr:rowOff>163513</xdr:rowOff>
    </xdr:to>
    <xdr:cxnSp macro="">
      <xdr:nvCxnSpPr>
        <xdr:cNvPr id="18" name="Straight Connector 17"/>
        <xdr:cNvCxnSpPr/>
      </xdr:nvCxnSpPr>
      <xdr:spPr>
        <a:xfrm>
          <a:off x="4162425" y="923925"/>
          <a:ext cx="247650" cy="1588"/>
        </a:xfrm>
        <a:prstGeom prst="line">
          <a:avLst/>
        </a:prstGeom>
        <a:ln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4</xdr:row>
      <xdr:rowOff>114300</xdr:rowOff>
    </xdr:from>
    <xdr:to>
      <xdr:col>8</xdr:col>
      <xdr:colOff>333375</xdr:colOff>
      <xdr:row>4</xdr:row>
      <xdr:rowOff>115888</xdr:rowOff>
    </xdr:to>
    <xdr:cxnSp macro="">
      <xdr:nvCxnSpPr>
        <xdr:cNvPr id="19" name="Straight Connector 18"/>
        <xdr:cNvCxnSpPr/>
      </xdr:nvCxnSpPr>
      <xdr:spPr>
        <a:xfrm>
          <a:off x="6191250" y="876300"/>
          <a:ext cx="247650" cy="1588"/>
        </a:xfrm>
        <a:prstGeom prst="line">
          <a:avLst/>
        </a:prstGeom>
        <a:ln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8731</xdr:colOff>
      <xdr:row>4</xdr:row>
      <xdr:rowOff>172244</xdr:rowOff>
    </xdr:from>
    <xdr:to>
      <xdr:col>5</xdr:col>
      <xdr:colOff>10319</xdr:colOff>
      <xdr:row>12</xdr:row>
      <xdr:rowOff>124619</xdr:rowOff>
    </xdr:to>
    <xdr:cxnSp macro="">
      <xdr:nvCxnSpPr>
        <xdr:cNvPr id="21" name="Straight Arrow Connector 20"/>
        <xdr:cNvCxnSpPr/>
      </xdr:nvCxnSpPr>
      <xdr:spPr>
        <a:xfrm rot="5400000">
          <a:off x="3286125" y="1666875"/>
          <a:ext cx="146685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4</xdr:row>
      <xdr:rowOff>9525</xdr:rowOff>
    </xdr:from>
    <xdr:to>
      <xdr:col>8</xdr:col>
      <xdr:colOff>266700</xdr:colOff>
      <xdr:row>4</xdr:row>
      <xdr:rowOff>11113</xdr:rowOff>
    </xdr:to>
    <xdr:cxnSp macro="">
      <xdr:nvCxnSpPr>
        <xdr:cNvPr id="23" name="Straight Arrow Connector 22"/>
        <xdr:cNvCxnSpPr/>
      </xdr:nvCxnSpPr>
      <xdr:spPr>
        <a:xfrm>
          <a:off x="4229100" y="771525"/>
          <a:ext cx="21336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3</xdr:row>
      <xdr:rowOff>85725</xdr:rowOff>
    </xdr:from>
    <xdr:to>
      <xdr:col>7</xdr:col>
      <xdr:colOff>190500</xdr:colOff>
      <xdr:row>4</xdr:row>
      <xdr:rowOff>123825</xdr:rowOff>
    </xdr:to>
    <xdr:sp macro="" textlink="">
      <xdr:nvSpPr>
        <xdr:cNvPr id="24" name="TextBox 23"/>
        <xdr:cNvSpPr txBox="1"/>
      </xdr:nvSpPr>
      <xdr:spPr>
        <a:xfrm>
          <a:off x="5219700" y="657225"/>
          <a:ext cx="371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/>
            <a:t>b</a:t>
          </a:r>
          <a:endParaRPr lang="fa-IR" sz="1400" b="1"/>
        </a:p>
      </xdr:txBody>
    </xdr:sp>
    <xdr:clientData/>
  </xdr:twoCellAnchor>
  <xdr:twoCellAnchor>
    <xdr:from>
      <xdr:col>4</xdr:col>
      <xdr:colOff>533400</xdr:colOff>
      <xdr:row>7</xdr:row>
      <xdr:rowOff>123825</xdr:rowOff>
    </xdr:from>
    <xdr:to>
      <xdr:col>5</xdr:col>
      <xdr:colOff>114300</xdr:colOff>
      <xdr:row>9</xdr:row>
      <xdr:rowOff>95250</xdr:rowOff>
    </xdr:to>
    <xdr:sp macro="" textlink="">
      <xdr:nvSpPr>
        <xdr:cNvPr id="25" name="TextBox 24"/>
        <xdr:cNvSpPr txBox="1"/>
      </xdr:nvSpPr>
      <xdr:spPr>
        <a:xfrm>
          <a:off x="3924300" y="1457325"/>
          <a:ext cx="2190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/>
            <a:t>h</a:t>
          </a:r>
          <a:endParaRPr lang="fa-I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171450</xdr:rowOff>
    </xdr:from>
    <xdr:to>
      <xdr:col>12</xdr:col>
      <xdr:colOff>38100</xdr:colOff>
      <xdr:row>16</xdr:row>
      <xdr:rowOff>180975</xdr:rowOff>
    </xdr:to>
    <xdr:grpSp>
      <xdr:nvGrpSpPr>
        <xdr:cNvPr id="6392" name="Group 38"/>
        <xdr:cNvGrpSpPr>
          <a:grpSpLocks/>
        </xdr:cNvGrpSpPr>
      </xdr:nvGrpSpPr>
      <xdr:grpSpPr bwMode="auto">
        <a:xfrm>
          <a:off x="3190875" y="533400"/>
          <a:ext cx="4533900" cy="2771775"/>
          <a:chOff x="3376977" y="526348"/>
          <a:chExt cx="4824412" cy="2711053"/>
        </a:xfrm>
      </xdr:grpSpPr>
      <xdr:sp macro="" textlink="">
        <xdr:nvSpPr>
          <xdr:cNvPr id="2" name="Rectangle 1"/>
          <xdr:cNvSpPr/>
        </xdr:nvSpPr>
        <xdr:spPr>
          <a:xfrm>
            <a:off x="3376977" y="526348"/>
            <a:ext cx="4824412" cy="2711053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grpSp>
        <xdr:nvGrpSpPr>
          <xdr:cNvPr id="6400" name="Group 37"/>
          <xdr:cNvGrpSpPr>
            <a:grpSpLocks/>
          </xdr:cNvGrpSpPr>
        </xdr:nvGrpSpPr>
        <xdr:grpSpPr bwMode="auto">
          <a:xfrm>
            <a:off x="3488040" y="576088"/>
            <a:ext cx="4506415" cy="2572645"/>
            <a:chOff x="3591017" y="600667"/>
            <a:chExt cx="4496024" cy="2568315"/>
          </a:xfrm>
        </xdr:grpSpPr>
        <xdr:cxnSp macro="">
          <xdr:nvCxnSpPr>
            <xdr:cNvPr id="27" name="Straight Connector 26"/>
            <xdr:cNvCxnSpPr/>
          </xdr:nvCxnSpPr>
          <xdr:spPr>
            <a:xfrm flipV="1">
              <a:off x="4127375" y="1053246"/>
              <a:ext cx="1648248" cy="1748523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/>
            <xdr:cNvCxnSpPr/>
          </xdr:nvCxnSpPr>
          <xdr:spPr>
            <a:xfrm>
              <a:off x="5775623" y="1053246"/>
              <a:ext cx="1638136" cy="172062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/>
            <xdr:cNvCxnSpPr/>
          </xdr:nvCxnSpPr>
          <xdr:spPr>
            <a:xfrm flipV="1">
              <a:off x="4137487" y="2792468"/>
              <a:ext cx="3266159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2" name="Isosceles Triangle 41"/>
            <xdr:cNvSpPr/>
          </xdr:nvSpPr>
          <xdr:spPr>
            <a:xfrm>
              <a:off x="4066703" y="2801769"/>
              <a:ext cx="141567" cy="195314"/>
            </a:xfrm>
            <a:prstGeom prst="triangle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3" name="Oval 42"/>
            <xdr:cNvSpPr/>
          </xdr:nvSpPr>
          <xdr:spPr>
            <a:xfrm>
              <a:off x="7383422" y="2811069"/>
              <a:ext cx="50560" cy="158111"/>
            </a:xfrm>
            <a:prstGeom prst="ellipse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4" name="Oval 43"/>
            <xdr:cNvSpPr/>
          </xdr:nvSpPr>
          <xdr:spPr>
            <a:xfrm>
              <a:off x="5745287" y="1034645"/>
              <a:ext cx="60672" cy="65105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5" name="Oval 44"/>
            <xdr:cNvSpPr/>
          </xdr:nvSpPr>
          <xdr:spPr>
            <a:xfrm>
              <a:off x="4107151" y="2755266"/>
              <a:ext cx="60672" cy="74405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sp macro="" textlink="">
          <xdr:nvSpPr>
            <xdr:cNvPr id="46" name="Oval 45"/>
            <xdr:cNvSpPr/>
          </xdr:nvSpPr>
          <xdr:spPr>
            <a:xfrm>
              <a:off x="7373310" y="2736664"/>
              <a:ext cx="60672" cy="74405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endParaRPr lang="fa-IR" sz="1100"/>
            </a:p>
          </xdr:txBody>
        </xdr:sp>
        <xdr:cxnSp macro="">
          <xdr:nvCxnSpPr>
            <xdr:cNvPr id="48" name="Straight Connector 47"/>
            <xdr:cNvCxnSpPr/>
          </xdr:nvCxnSpPr>
          <xdr:spPr>
            <a:xfrm>
              <a:off x="7302527" y="2987782"/>
              <a:ext cx="202239" cy="9301"/>
            </a:xfrm>
            <a:prstGeom prst="line">
              <a:avLst/>
            </a:prstGeom>
          </xdr:spPr>
          <xdr:style>
            <a:lnRef idx="3">
              <a:schemeClr val="accent4"/>
            </a:lnRef>
            <a:fillRef idx="0">
              <a:schemeClr val="accent4"/>
            </a:fillRef>
            <a:effectRef idx="2">
              <a:schemeClr val="accent4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/>
            <xdr:cNvCxnSpPr/>
          </xdr:nvCxnSpPr>
          <xdr:spPr>
            <a:xfrm>
              <a:off x="4137487" y="3080788"/>
              <a:ext cx="3266159" cy="18601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52"/>
            <xdr:cNvCxnSpPr/>
          </xdr:nvCxnSpPr>
          <xdr:spPr>
            <a:xfrm rot="16200000" flipV="1">
              <a:off x="7143374" y="1899200"/>
              <a:ext cx="1683418" cy="10112"/>
            </a:xfrm>
            <a:prstGeom prst="straightConnector1">
              <a:avLst/>
            </a:prstGeom>
            <a:ln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/>
            <xdr:cNvCxnSpPr/>
          </xdr:nvCxnSpPr>
          <xdr:spPr>
            <a:xfrm>
              <a:off x="7899132" y="1062547"/>
              <a:ext cx="171903" cy="930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/>
            <xdr:cNvCxnSpPr/>
          </xdr:nvCxnSpPr>
          <xdr:spPr>
            <a:xfrm>
              <a:off x="7899132" y="2736664"/>
              <a:ext cx="182015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/>
            <xdr:cNvCxnSpPr/>
          </xdr:nvCxnSpPr>
          <xdr:spPr>
            <a:xfrm rot="5400000">
              <a:off x="7343192" y="3104040"/>
              <a:ext cx="120908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Connector 58"/>
            <xdr:cNvCxnSpPr/>
          </xdr:nvCxnSpPr>
          <xdr:spPr>
            <a:xfrm rot="5400000">
              <a:off x="4087144" y="3094740"/>
              <a:ext cx="120908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0" name="TextBox 59"/>
            <xdr:cNvSpPr txBox="1"/>
          </xdr:nvSpPr>
          <xdr:spPr>
            <a:xfrm>
              <a:off x="5613831" y="2997082"/>
              <a:ext cx="404478" cy="1674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L</a:t>
              </a:r>
              <a:endParaRPr lang="fa-IR" sz="1100"/>
            </a:p>
          </xdr:txBody>
        </xdr:sp>
        <xdr:sp macro="" textlink="">
          <xdr:nvSpPr>
            <xdr:cNvPr id="62" name="TextBox 61"/>
            <xdr:cNvSpPr txBox="1"/>
          </xdr:nvSpPr>
          <xdr:spPr>
            <a:xfrm>
              <a:off x="7899132" y="1704292"/>
              <a:ext cx="192127" cy="31622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h</a:t>
              </a:r>
              <a:endParaRPr lang="fa-IR" sz="1100"/>
            </a:p>
          </xdr:txBody>
        </xdr:sp>
        <xdr:cxnSp macro="">
          <xdr:nvCxnSpPr>
            <xdr:cNvPr id="64" name="Straight Arrow Connector 63"/>
            <xdr:cNvCxnSpPr/>
          </xdr:nvCxnSpPr>
          <xdr:spPr>
            <a:xfrm rot="5400000" flipH="1" flipV="1">
              <a:off x="3565786" y="2675804"/>
              <a:ext cx="223216" cy="1011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Arrow Connector 65"/>
            <xdr:cNvCxnSpPr/>
          </xdr:nvCxnSpPr>
          <xdr:spPr>
            <a:xfrm>
              <a:off x="3682449" y="2792468"/>
              <a:ext cx="202239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Straight Arrow Connector 70"/>
            <xdr:cNvCxnSpPr/>
          </xdr:nvCxnSpPr>
          <xdr:spPr>
            <a:xfrm>
              <a:off x="5785735" y="941638"/>
              <a:ext cx="242687" cy="930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Straight Arrow Connector 72"/>
            <xdr:cNvCxnSpPr/>
          </xdr:nvCxnSpPr>
          <xdr:spPr>
            <a:xfrm rot="5400000" flipH="1" flipV="1">
              <a:off x="5678776" y="843982"/>
              <a:ext cx="213915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Straight Arrow Connector 74"/>
            <xdr:cNvCxnSpPr/>
          </xdr:nvCxnSpPr>
          <xdr:spPr>
            <a:xfrm>
              <a:off x="7484542" y="2755266"/>
              <a:ext cx="232575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Straight Arrow Connector 76"/>
            <xdr:cNvCxnSpPr/>
          </xdr:nvCxnSpPr>
          <xdr:spPr>
            <a:xfrm rot="5400000" flipH="1" flipV="1">
              <a:off x="7363228" y="2633951"/>
              <a:ext cx="232516" cy="1011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8" name="TextBox 77"/>
            <xdr:cNvSpPr txBox="1"/>
          </xdr:nvSpPr>
          <xdr:spPr>
            <a:xfrm flipH="1">
              <a:off x="3904912" y="2708762"/>
              <a:ext cx="121343" cy="13020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1</a:t>
              </a:r>
              <a:endParaRPr lang="fa-IR" sz="11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3591442" y="2420442"/>
              <a:ext cx="182015" cy="13020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2</a:t>
              </a:r>
              <a:endParaRPr lang="fa-IR" sz="1100"/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717117" y="2708762"/>
              <a:ext cx="111231" cy="11160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3</a:t>
              </a:r>
              <a:endParaRPr lang="fa-IR" sz="1100"/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7393534" y="2392540"/>
              <a:ext cx="141567" cy="10230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4</a:t>
              </a:r>
              <a:endParaRPr lang="fa-IR" sz="11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6048645" y="857932"/>
              <a:ext cx="151679" cy="13020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5</a:t>
              </a:r>
              <a:endParaRPr lang="fa-IR" sz="1100"/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5704839" y="597514"/>
              <a:ext cx="151679" cy="10230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1" anchor="ctr"/>
            <a:lstStyle/>
            <a:p>
              <a:pPr algn="ctr"/>
              <a:r>
                <a:rPr lang="en-US" sz="1100"/>
                <a:t>6</a:t>
              </a:r>
              <a:endParaRPr lang="fa-IR" sz="1100"/>
            </a:p>
          </xdr:txBody>
        </xdr:sp>
      </xdr:grpSp>
    </xdr:grpSp>
    <xdr:clientData/>
  </xdr:twoCellAnchor>
  <xdr:twoCellAnchor>
    <xdr:from>
      <xdr:col>12</xdr:col>
      <xdr:colOff>114300</xdr:colOff>
      <xdr:row>48</xdr:row>
      <xdr:rowOff>104775</xdr:rowOff>
    </xdr:from>
    <xdr:to>
      <xdr:col>12</xdr:col>
      <xdr:colOff>457200</xdr:colOff>
      <xdr:row>48</xdr:row>
      <xdr:rowOff>106363</xdr:rowOff>
    </xdr:to>
    <xdr:cxnSp macro="">
      <xdr:nvCxnSpPr>
        <xdr:cNvPr id="86" name="Straight Connector 85"/>
        <xdr:cNvCxnSpPr/>
      </xdr:nvCxnSpPr>
      <xdr:spPr>
        <a:xfrm>
          <a:off x="8286750" y="8362950"/>
          <a:ext cx="3810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49</xdr:row>
      <xdr:rowOff>71438</xdr:rowOff>
    </xdr:from>
    <xdr:to>
      <xdr:col>12</xdr:col>
      <xdr:colOff>438150</xdr:colOff>
      <xdr:row>49</xdr:row>
      <xdr:rowOff>73026</xdr:rowOff>
    </xdr:to>
    <xdr:cxnSp macro="">
      <xdr:nvCxnSpPr>
        <xdr:cNvPr id="87" name="Straight Connector 86"/>
        <xdr:cNvCxnSpPr/>
      </xdr:nvCxnSpPr>
      <xdr:spPr>
        <a:xfrm>
          <a:off x="8296275" y="8529638"/>
          <a:ext cx="3619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180978</xdr:colOff>
      <xdr:row>48</xdr:row>
      <xdr:rowOff>76200</xdr:rowOff>
    </xdr:from>
    <xdr:to>
      <xdr:col>10</xdr:col>
      <xdr:colOff>333380</xdr:colOff>
      <xdr:row>49</xdr:row>
      <xdr:rowOff>118873</xdr:rowOff>
    </xdr:to>
    <xdr:cxnSp macro="">
      <xdr:nvCxnSpPr>
        <xdr:cNvPr id="88" name="Straight Connector 87"/>
        <xdr:cNvCxnSpPr/>
      </xdr:nvCxnSpPr>
      <xdr:spPr>
        <a:xfrm rot="5400000">
          <a:off x="6965160" y="8370093"/>
          <a:ext cx="223838" cy="1714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48</xdr:row>
      <xdr:rowOff>104776</xdr:rowOff>
    </xdr:from>
    <xdr:to>
      <xdr:col>10</xdr:col>
      <xdr:colOff>361954</xdr:colOff>
      <xdr:row>49</xdr:row>
      <xdr:rowOff>119064</xdr:rowOff>
    </xdr:to>
    <xdr:cxnSp macro="">
      <xdr:nvCxnSpPr>
        <xdr:cNvPr id="89" name="Straight Connector 88"/>
        <xdr:cNvCxnSpPr/>
      </xdr:nvCxnSpPr>
      <xdr:spPr>
        <a:xfrm>
          <a:off x="6991350" y="8362951"/>
          <a:ext cx="209555" cy="2047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56</xdr:row>
      <xdr:rowOff>61913</xdr:rowOff>
    </xdr:from>
    <xdr:to>
      <xdr:col>6</xdr:col>
      <xdr:colOff>457200</xdr:colOff>
      <xdr:row>56</xdr:row>
      <xdr:rowOff>63501</xdr:rowOff>
    </xdr:to>
    <xdr:cxnSp macro="">
      <xdr:nvCxnSpPr>
        <xdr:cNvPr id="92" name="Straight Connector 91"/>
        <xdr:cNvCxnSpPr/>
      </xdr:nvCxnSpPr>
      <xdr:spPr>
        <a:xfrm>
          <a:off x="4200525" y="9967913"/>
          <a:ext cx="3619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55</xdr:row>
      <xdr:rowOff>66675</xdr:rowOff>
    </xdr:from>
    <xdr:to>
      <xdr:col>6</xdr:col>
      <xdr:colOff>466725</xdr:colOff>
      <xdr:row>55</xdr:row>
      <xdr:rowOff>68263</xdr:rowOff>
    </xdr:to>
    <xdr:cxnSp macro="">
      <xdr:nvCxnSpPr>
        <xdr:cNvPr id="93" name="Straight Connector 92"/>
        <xdr:cNvCxnSpPr/>
      </xdr:nvCxnSpPr>
      <xdr:spPr>
        <a:xfrm>
          <a:off x="4191000" y="9791700"/>
          <a:ext cx="3810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114300</xdr:rowOff>
    </xdr:from>
    <xdr:to>
      <xdr:col>8</xdr:col>
      <xdr:colOff>571500</xdr:colOff>
      <xdr:row>22</xdr:row>
      <xdr:rowOff>152400</xdr:rowOff>
    </xdr:to>
    <xdr:sp macro="" textlink="">
      <xdr:nvSpPr>
        <xdr:cNvPr id="2" name="Rectangle 1"/>
        <xdr:cNvSpPr/>
      </xdr:nvSpPr>
      <xdr:spPr>
        <a:xfrm>
          <a:off x="3009900" y="114300"/>
          <a:ext cx="3371850" cy="34671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123825</xdr:colOff>
      <xdr:row>3</xdr:row>
      <xdr:rowOff>95250</xdr:rowOff>
    </xdr:from>
    <xdr:to>
      <xdr:col>7</xdr:col>
      <xdr:colOff>419100</xdr:colOff>
      <xdr:row>4</xdr:row>
      <xdr:rowOff>152400</xdr:rowOff>
    </xdr:to>
    <xdr:sp macro="" textlink="">
      <xdr:nvSpPr>
        <xdr:cNvPr id="3" name="Rectangle 2"/>
        <xdr:cNvSpPr/>
      </xdr:nvSpPr>
      <xdr:spPr>
        <a:xfrm>
          <a:off x="3819525" y="638175"/>
          <a:ext cx="16954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6</xdr:col>
      <xdr:colOff>190500</xdr:colOff>
      <xdr:row>4</xdr:row>
      <xdr:rowOff>152400</xdr:rowOff>
    </xdr:from>
    <xdr:to>
      <xdr:col>6</xdr:col>
      <xdr:colOff>333375</xdr:colOff>
      <xdr:row>19</xdr:row>
      <xdr:rowOff>9525</xdr:rowOff>
    </xdr:to>
    <xdr:sp macro="" textlink="">
      <xdr:nvSpPr>
        <xdr:cNvPr id="4" name="Rectangle 3"/>
        <xdr:cNvSpPr/>
      </xdr:nvSpPr>
      <xdr:spPr>
        <a:xfrm>
          <a:off x="4581525" y="876300"/>
          <a:ext cx="152400" cy="2028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114300</xdr:colOff>
      <xdr:row>19</xdr:row>
      <xdr:rowOff>9525</xdr:rowOff>
    </xdr:from>
    <xdr:to>
      <xdr:col>7</xdr:col>
      <xdr:colOff>409575</xdr:colOff>
      <xdr:row>20</xdr:row>
      <xdr:rowOff>66675</xdr:rowOff>
    </xdr:to>
    <xdr:sp macro="" textlink="">
      <xdr:nvSpPr>
        <xdr:cNvPr id="5" name="Rectangle 4"/>
        <xdr:cNvSpPr/>
      </xdr:nvSpPr>
      <xdr:spPr>
        <a:xfrm>
          <a:off x="3810000" y="2905125"/>
          <a:ext cx="16954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fa-IR" sz="1100"/>
        </a:p>
      </xdr:txBody>
    </xdr:sp>
    <xdr:clientData/>
  </xdr:twoCellAnchor>
  <xdr:twoCellAnchor>
    <xdr:from>
      <xdr:col>5</xdr:col>
      <xdr:colOff>114300</xdr:colOff>
      <xdr:row>2</xdr:row>
      <xdr:rowOff>133350</xdr:rowOff>
    </xdr:from>
    <xdr:to>
      <xdr:col>7</xdr:col>
      <xdr:colOff>447675</xdr:colOff>
      <xdr:row>2</xdr:row>
      <xdr:rowOff>134938</xdr:rowOff>
    </xdr:to>
    <xdr:cxnSp macro="">
      <xdr:nvCxnSpPr>
        <xdr:cNvPr id="7" name="Straight Arrow Connector 6"/>
        <xdr:cNvCxnSpPr/>
      </xdr:nvCxnSpPr>
      <xdr:spPr>
        <a:xfrm>
          <a:off x="3810000" y="495300"/>
          <a:ext cx="17430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685007</xdr:colOff>
      <xdr:row>3</xdr:row>
      <xdr:rowOff>76993</xdr:rowOff>
    </xdr:from>
    <xdr:to>
      <xdr:col>8</xdr:col>
      <xdr:colOff>795</xdr:colOff>
      <xdr:row>4</xdr:row>
      <xdr:rowOff>172243</xdr:rowOff>
    </xdr:to>
    <xdr:cxnSp macro="">
      <xdr:nvCxnSpPr>
        <xdr:cNvPr id="13" name="Straight Arrow Connector 12"/>
        <xdr:cNvCxnSpPr/>
      </xdr:nvCxnSpPr>
      <xdr:spPr>
        <a:xfrm rot="5400000">
          <a:off x="5595938" y="757237"/>
          <a:ext cx="2762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599281</xdr:colOff>
      <xdr:row>4</xdr:row>
      <xdr:rowOff>162719</xdr:rowOff>
    </xdr:from>
    <xdr:to>
      <xdr:col>7</xdr:col>
      <xdr:colOff>600869</xdr:colOff>
      <xdr:row>18</xdr:row>
      <xdr:rowOff>181769</xdr:rowOff>
    </xdr:to>
    <xdr:cxnSp macro="">
      <xdr:nvCxnSpPr>
        <xdr:cNvPr id="15" name="Straight Arrow Connector 14"/>
        <xdr:cNvCxnSpPr/>
      </xdr:nvCxnSpPr>
      <xdr:spPr>
        <a:xfrm rot="5400000">
          <a:off x="4724400" y="1885950"/>
          <a:ext cx="200025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599281</xdr:colOff>
      <xdr:row>18</xdr:row>
      <xdr:rowOff>162719</xdr:rowOff>
    </xdr:from>
    <xdr:to>
      <xdr:col>7</xdr:col>
      <xdr:colOff>600869</xdr:colOff>
      <xdr:row>20</xdr:row>
      <xdr:rowOff>57944</xdr:rowOff>
    </xdr:to>
    <xdr:cxnSp macro="">
      <xdr:nvCxnSpPr>
        <xdr:cNvPr id="17" name="Straight Arrow Connector 16"/>
        <xdr:cNvCxnSpPr/>
      </xdr:nvCxnSpPr>
      <xdr:spPr>
        <a:xfrm rot="5400000">
          <a:off x="5591175" y="3000375"/>
          <a:ext cx="2667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2</xdr:row>
      <xdr:rowOff>28575</xdr:rowOff>
    </xdr:from>
    <xdr:to>
      <xdr:col>6</xdr:col>
      <xdr:colOff>590550</xdr:colOff>
      <xdr:row>3</xdr:row>
      <xdr:rowOff>19050</xdr:rowOff>
    </xdr:to>
    <xdr:sp macro="" textlink="">
      <xdr:nvSpPr>
        <xdr:cNvPr id="18" name="TextBox 17"/>
        <xdr:cNvSpPr txBox="1"/>
      </xdr:nvSpPr>
      <xdr:spPr>
        <a:xfrm>
          <a:off x="4486275" y="390525"/>
          <a:ext cx="542925" cy="1714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b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7</xdr:col>
      <xdr:colOff>371475</xdr:colOff>
      <xdr:row>12</xdr:row>
      <xdr:rowOff>104775</xdr:rowOff>
    </xdr:from>
    <xdr:to>
      <xdr:col>8</xdr:col>
      <xdr:colOff>247650</xdr:colOff>
      <xdr:row>13</xdr:row>
      <xdr:rowOff>95250</xdr:rowOff>
    </xdr:to>
    <xdr:sp macro="" textlink="">
      <xdr:nvSpPr>
        <xdr:cNvPr id="19" name="TextBox 18"/>
        <xdr:cNvSpPr txBox="1"/>
      </xdr:nvSpPr>
      <xdr:spPr>
        <a:xfrm>
          <a:off x="5467350" y="1733550"/>
          <a:ext cx="542925" cy="1714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d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8</xdr:col>
      <xdr:colOff>104775</xdr:colOff>
      <xdr:row>3</xdr:row>
      <xdr:rowOff>133350</xdr:rowOff>
    </xdr:from>
    <xdr:to>
      <xdr:col>8</xdr:col>
      <xdr:colOff>476249</xdr:colOff>
      <xdr:row>4</xdr:row>
      <xdr:rowOff>152400</xdr:rowOff>
    </xdr:to>
    <xdr:sp macro="" textlink="">
      <xdr:nvSpPr>
        <xdr:cNvPr id="24" name="TextBox 23"/>
        <xdr:cNvSpPr txBox="1"/>
      </xdr:nvSpPr>
      <xdr:spPr>
        <a:xfrm>
          <a:off x="5848350" y="676275"/>
          <a:ext cx="419099" cy="2000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t1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6</xdr:col>
      <xdr:colOff>419100</xdr:colOff>
      <xdr:row>16</xdr:row>
      <xdr:rowOff>161925</xdr:rowOff>
    </xdr:from>
    <xdr:to>
      <xdr:col>7</xdr:col>
      <xdr:colOff>142875</xdr:colOff>
      <xdr:row>17</xdr:row>
      <xdr:rowOff>161925</xdr:rowOff>
    </xdr:to>
    <xdr:sp macro="" textlink="">
      <xdr:nvSpPr>
        <xdr:cNvPr id="25" name="TextBox 24"/>
        <xdr:cNvSpPr txBox="1"/>
      </xdr:nvSpPr>
      <xdr:spPr>
        <a:xfrm>
          <a:off x="4838700" y="2514600"/>
          <a:ext cx="37147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t2</a:t>
          </a:r>
          <a:endParaRPr lang="fa-IR" sz="1400" b="1">
            <a:cs typeface="+mn-cs"/>
          </a:endParaRPr>
        </a:p>
      </xdr:txBody>
    </xdr:sp>
    <xdr:clientData/>
  </xdr:twoCellAnchor>
  <xdr:twoCellAnchor>
    <xdr:from>
      <xdr:col>6</xdr:col>
      <xdr:colOff>76200</xdr:colOff>
      <xdr:row>17</xdr:row>
      <xdr:rowOff>71438</xdr:rowOff>
    </xdr:from>
    <xdr:to>
      <xdr:col>6</xdr:col>
      <xdr:colOff>447675</xdr:colOff>
      <xdr:row>17</xdr:row>
      <xdr:rowOff>76200</xdr:rowOff>
    </xdr:to>
    <xdr:cxnSp macro="">
      <xdr:nvCxnSpPr>
        <xdr:cNvPr id="32" name="Straight Arrow Connector 31"/>
        <xdr:cNvCxnSpPr/>
      </xdr:nvCxnSpPr>
      <xdr:spPr>
        <a:xfrm flipV="1">
          <a:off x="4448175" y="2605088"/>
          <a:ext cx="419100" cy="476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19</xdr:row>
      <xdr:rowOff>19050</xdr:rowOff>
    </xdr:from>
    <xdr:to>
      <xdr:col>8</xdr:col>
      <xdr:colOff>409575</xdr:colOff>
      <xdr:row>20</xdr:row>
      <xdr:rowOff>19050</xdr:rowOff>
    </xdr:to>
    <xdr:sp macro="" textlink="">
      <xdr:nvSpPr>
        <xdr:cNvPr id="35" name="TextBox 34"/>
        <xdr:cNvSpPr txBox="1"/>
      </xdr:nvSpPr>
      <xdr:spPr>
        <a:xfrm>
          <a:off x="5819775" y="2914650"/>
          <a:ext cx="37147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en-US" sz="1400" b="1">
              <a:cs typeface="+mn-cs"/>
            </a:rPr>
            <a:t>t1</a:t>
          </a:r>
          <a:endParaRPr lang="fa-IR" sz="1400" b="1"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</xdr:row>
      <xdr:rowOff>19051</xdr:rowOff>
    </xdr:from>
    <xdr:to>
      <xdr:col>6</xdr:col>
      <xdr:colOff>419099</xdr:colOff>
      <xdr:row>2</xdr:row>
      <xdr:rowOff>171450</xdr:rowOff>
    </xdr:to>
    <xdr:sp macro="" textlink="">
      <xdr:nvSpPr>
        <xdr:cNvPr id="20" name="TextBox 19"/>
        <xdr:cNvSpPr txBox="1"/>
      </xdr:nvSpPr>
      <xdr:spPr>
        <a:xfrm>
          <a:off x="3448049" y="247651"/>
          <a:ext cx="1609725" cy="380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fa-IR" sz="1100" b="1"/>
            <a:t>واحد طول : سانتي متر</a:t>
          </a:r>
        </a:p>
        <a:p>
          <a:pPr algn="ctr"/>
          <a:r>
            <a:rPr lang="fa-IR" sz="1100" b="1"/>
            <a:t>واحد نيرو : كيلوگرم</a:t>
          </a:r>
        </a:p>
      </xdr:txBody>
    </xdr:sp>
    <xdr:clientData/>
  </xdr:twoCellAnchor>
  <xdr:twoCellAnchor>
    <xdr:from>
      <xdr:col>8</xdr:col>
      <xdr:colOff>38100</xdr:colOff>
      <xdr:row>0</xdr:row>
      <xdr:rowOff>76200</xdr:rowOff>
    </xdr:from>
    <xdr:to>
      <xdr:col>12</xdr:col>
      <xdr:colOff>590550</xdr:colOff>
      <xdr:row>24</xdr:row>
      <xdr:rowOff>123825</xdr:rowOff>
    </xdr:to>
    <xdr:grpSp>
      <xdr:nvGrpSpPr>
        <xdr:cNvPr id="5277" name="Group 26"/>
        <xdr:cNvGrpSpPr>
          <a:grpSpLocks/>
        </xdr:cNvGrpSpPr>
      </xdr:nvGrpSpPr>
      <xdr:grpSpPr bwMode="auto">
        <a:xfrm>
          <a:off x="5276850" y="76200"/>
          <a:ext cx="2990850" cy="4810125"/>
          <a:chOff x="6007100" y="76200"/>
          <a:chExt cx="3371850" cy="4822825"/>
        </a:xfrm>
      </xdr:grpSpPr>
      <xdr:sp macro="" textlink="">
        <xdr:nvSpPr>
          <xdr:cNvPr id="2" name="Rectangle 1"/>
          <xdr:cNvSpPr/>
        </xdr:nvSpPr>
        <xdr:spPr>
          <a:xfrm>
            <a:off x="6007100" y="76200"/>
            <a:ext cx="3371850" cy="4822825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3" name="Rectangle 2"/>
          <xdr:cNvSpPr/>
        </xdr:nvSpPr>
        <xdr:spPr>
          <a:xfrm>
            <a:off x="6812478" y="620558"/>
            <a:ext cx="1696663" cy="24830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4" name="Rectangle 3"/>
          <xdr:cNvSpPr/>
        </xdr:nvSpPr>
        <xdr:spPr>
          <a:xfrm>
            <a:off x="7574903" y="868862"/>
            <a:ext cx="161076" cy="32661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6812478" y="4135013"/>
            <a:ext cx="1685925" cy="24830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cxnSp macro="">
        <xdr:nvCxnSpPr>
          <xdr:cNvPr id="6" name="Straight Arrow Connector 5"/>
          <xdr:cNvCxnSpPr/>
        </xdr:nvCxnSpPr>
        <xdr:spPr>
          <a:xfrm>
            <a:off x="6812478" y="439106"/>
            <a:ext cx="1739617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Arrow Connector 6"/>
          <xdr:cNvCxnSpPr/>
        </xdr:nvCxnSpPr>
        <xdr:spPr>
          <a:xfrm rot="5400000">
            <a:off x="8580657" y="744710"/>
            <a:ext cx="286504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Arrow Connector 7"/>
          <xdr:cNvCxnSpPr/>
        </xdr:nvCxnSpPr>
        <xdr:spPr>
          <a:xfrm rot="5400000">
            <a:off x="7105158" y="2506713"/>
            <a:ext cx="323750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Arrow Connector 8"/>
          <xdr:cNvCxnSpPr/>
        </xdr:nvCxnSpPr>
        <xdr:spPr>
          <a:xfrm rot="5400000">
            <a:off x="8585431" y="4254390"/>
            <a:ext cx="276954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7478257" y="343604"/>
            <a:ext cx="547657" cy="1910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400" b="1">
                <a:cs typeface="+mn-cs"/>
              </a:rPr>
              <a:t>b</a:t>
            </a:r>
            <a:r>
              <a:rPr lang="en-US" sz="1100" b="1">
                <a:cs typeface="+mn-cs"/>
              </a:rPr>
              <a:t>f</a:t>
            </a:r>
            <a:endParaRPr lang="fa-IR" sz="1400" b="1">
              <a:cs typeface="+mn-cs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466188" y="2540138"/>
            <a:ext cx="536919" cy="200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400" b="1">
                <a:cs typeface="+mn-cs"/>
              </a:rPr>
              <a:t>h</a:t>
            </a:r>
            <a:r>
              <a:rPr lang="en-US" sz="1100" b="1">
                <a:cs typeface="+mn-cs"/>
              </a:rPr>
              <a:t>w</a:t>
            </a:r>
            <a:endParaRPr lang="fa-IR" sz="1400" b="1">
              <a:cs typeface="+mn-cs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842031" y="658759"/>
            <a:ext cx="418797" cy="2101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400" b="1">
                <a:cs typeface="+mn-cs"/>
              </a:rPr>
              <a:t>t</a:t>
            </a:r>
            <a:r>
              <a:rPr lang="en-US" sz="1100" b="1">
                <a:cs typeface="+mn-cs"/>
              </a:rPr>
              <a:t>f</a:t>
            </a:r>
            <a:endParaRPr lang="fa-IR" sz="1400" b="1">
              <a:cs typeface="+mn-cs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7832624" y="3542904"/>
            <a:ext cx="375843" cy="25785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400" b="1">
                <a:cs typeface="+mn-cs"/>
              </a:rPr>
              <a:t>t</a:t>
            </a:r>
            <a:r>
              <a:rPr lang="en-US" sz="1100" b="1">
                <a:cs typeface="+mn-cs"/>
              </a:rPr>
              <a:t>w</a:t>
            </a:r>
            <a:endParaRPr lang="fa-IR" sz="1400" b="1">
              <a:cs typeface="+mn-cs"/>
            </a:endParaRPr>
          </a:p>
        </xdr:txBody>
      </xdr:sp>
      <xdr:cxnSp macro="">
        <xdr:nvCxnSpPr>
          <xdr:cNvPr id="14" name="Straight Arrow Connector 13"/>
          <xdr:cNvCxnSpPr/>
        </xdr:nvCxnSpPr>
        <xdr:spPr>
          <a:xfrm flipV="1">
            <a:off x="7446042" y="3705256"/>
            <a:ext cx="418797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8820554" y="4144563"/>
            <a:ext cx="365105" cy="2005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400" b="1">
                <a:cs typeface="+mn-cs"/>
              </a:rPr>
              <a:t>t</a:t>
            </a:r>
            <a:r>
              <a:rPr lang="en-US" sz="1100" b="1">
                <a:cs typeface="+mn-cs"/>
              </a:rPr>
              <a:t>f</a:t>
            </a:r>
            <a:endParaRPr lang="fa-IR" sz="1400" b="1">
              <a:cs typeface="+mn-cs"/>
            </a:endParaRPr>
          </a:p>
        </xdr:txBody>
      </xdr:sp>
      <xdr:cxnSp macro="">
        <xdr:nvCxnSpPr>
          <xdr:cNvPr id="17" name="Straight Connector 16"/>
          <xdr:cNvCxnSpPr/>
        </xdr:nvCxnSpPr>
        <xdr:spPr>
          <a:xfrm rot="5400000" flipH="1" flipV="1">
            <a:off x="6726527" y="448656"/>
            <a:ext cx="17190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rot="5400000" flipH="1" flipV="1">
            <a:off x="8454811" y="448062"/>
            <a:ext cx="162353" cy="1073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8648740" y="887963"/>
            <a:ext cx="16107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8659479" y="601458"/>
            <a:ext cx="150337" cy="95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8648740" y="4125463"/>
            <a:ext cx="15033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>
            <a:off x="8648740" y="4392867"/>
            <a:ext cx="15033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45253</xdr:colOff>
      <xdr:row>111</xdr:row>
      <xdr:rowOff>152881</xdr:rowOff>
    </xdr:from>
    <xdr:to>
      <xdr:col>18</xdr:col>
      <xdr:colOff>390288</xdr:colOff>
      <xdr:row>111</xdr:row>
      <xdr:rowOff>154470</xdr:rowOff>
    </xdr:to>
    <xdr:cxnSp macro="">
      <xdr:nvCxnSpPr>
        <xdr:cNvPr id="40" name="Straight Connector 39"/>
        <xdr:cNvCxnSpPr/>
      </xdr:nvCxnSpPr>
      <xdr:spPr>
        <a:xfrm>
          <a:off x="12832932" y="21120337"/>
          <a:ext cx="383372" cy="1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54837</xdr:colOff>
      <xdr:row>112</xdr:row>
      <xdr:rowOff>138089</xdr:rowOff>
    </xdr:from>
    <xdr:to>
      <xdr:col>18</xdr:col>
      <xdr:colOff>380704</xdr:colOff>
      <xdr:row>112</xdr:row>
      <xdr:rowOff>139678</xdr:rowOff>
    </xdr:to>
    <xdr:cxnSp macro="">
      <xdr:nvCxnSpPr>
        <xdr:cNvPr id="41" name="Straight Connector 40"/>
        <xdr:cNvCxnSpPr/>
      </xdr:nvCxnSpPr>
      <xdr:spPr>
        <a:xfrm>
          <a:off x="12842516" y="21288718"/>
          <a:ext cx="364204" cy="1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116116</xdr:colOff>
      <xdr:row>111</xdr:row>
      <xdr:rowOff>133819</xdr:rowOff>
    </xdr:from>
    <xdr:to>
      <xdr:col>16</xdr:col>
      <xdr:colOff>269467</xdr:colOff>
      <xdr:row>112</xdr:row>
      <xdr:rowOff>176213</xdr:rowOff>
    </xdr:to>
    <xdr:cxnSp macro="">
      <xdr:nvCxnSpPr>
        <xdr:cNvPr id="42" name="Straight Connector 41"/>
        <xdr:cNvCxnSpPr/>
      </xdr:nvCxnSpPr>
      <xdr:spPr>
        <a:xfrm rot="5400000">
          <a:off x="11509334" y="21127799"/>
          <a:ext cx="225567" cy="172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116113</xdr:colOff>
      <xdr:row>111</xdr:row>
      <xdr:rowOff>152882</xdr:rowOff>
    </xdr:from>
    <xdr:to>
      <xdr:col>16</xdr:col>
      <xdr:colOff>307804</xdr:colOff>
      <xdr:row>112</xdr:row>
      <xdr:rowOff>176214</xdr:rowOff>
    </xdr:to>
    <xdr:cxnSp macro="">
      <xdr:nvCxnSpPr>
        <xdr:cNvPr id="43" name="Straight Connector 42"/>
        <xdr:cNvCxnSpPr/>
      </xdr:nvCxnSpPr>
      <xdr:spPr>
        <a:xfrm>
          <a:off x="11535855" y="21120338"/>
          <a:ext cx="210860" cy="2065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</xdr:row>
      <xdr:rowOff>38100</xdr:rowOff>
    </xdr:from>
    <xdr:to>
      <xdr:col>15</xdr:col>
      <xdr:colOff>0</xdr:colOff>
      <xdr:row>28</xdr:row>
      <xdr:rowOff>9525</xdr:rowOff>
    </xdr:to>
    <xdr:grpSp>
      <xdr:nvGrpSpPr>
        <xdr:cNvPr id="10697" name="Group 127"/>
        <xdr:cNvGrpSpPr>
          <a:grpSpLocks/>
        </xdr:cNvGrpSpPr>
      </xdr:nvGrpSpPr>
      <xdr:grpSpPr bwMode="auto">
        <a:xfrm>
          <a:off x="3038475" y="809625"/>
          <a:ext cx="6629400" cy="4743450"/>
          <a:chOff x="4107656" y="762916"/>
          <a:chExt cx="5619750" cy="4745099"/>
        </a:xfrm>
      </xdr:grpSpPr>
      <xdr:sp macro="" textlink="">
        <xdr:nvSpPr>
          <xdr:cNvPr id="45" name="Rectangle 44"/>
          <xdr:cNvSpPr/>
        </xdr:nvSpPr>
        <xdr:spPr>
          <a:xfrm>
            <a:off x="4107656" y="762916"/>
            <a:ext cx="5619750" cy="474509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46" name="Rectangle 45"/>
          <xdr:cNvSpPr/>
        </xdr:nvSpPr>
        <xdr:spPr>
          <a:xfrm>
            <a:off x="6764118" y="1858672"/>
            <a:ext cx="2042811" cy="228679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cxnSp macro="">
        <xdr:nvCxnSpPr>
          <xdr:cNvPr id="48" name="Straight Connector 47"/>
          <xdr:cNvCxnSpPr/>
        </xdr:nvCxnSpPr>
        <xdr:spPr>
          <a:xfrm rot="10800000">
            <a:off x="4721307" y="1849143"/>
            <a:ext cx="2042811" cy="9528"/>
          </a:xfrm>
          <a:prstGeom prst="line">
            <a:avLst/>
          </a:prstGeom>
          <a:effectLst>
            <a:outerShdw sx="1000" sy="1000" rotWithShape="0">
              <a:srgbClr val="000000"/>
            </a:outerShdw>
          </a:effectLst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 rot="10800000">
            <a:off x="4713233" y="4145466"/>
            <a:ext cx="2042811" cy="0"/>
          </a:xfrm>
          <a:prstGeom prst="line">
            <a:avLst/>
          </a:prstGeom>
          <a:effectLst>
            <a:outerShdw sx="1000" sy="1000" rotWithShape="0">
              <a:srgbClr val="000000"/>
            </a:outerShdw>
          </a:effectLst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 rot="5400000" flipH="1" flipV="1">
            <a:off x="6642127" y="1980663"/>
            <a:ext cx="2286795" cy="2042811"/>
          </a:xfrm>
          <a:prstGeom prst="line">
            <a:avLst/>
          </a:prstGeom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Straight Connector 54"/>
          <xdr:cNvCxnSpPr/>
        </xdr:nvCxnSpPr>
        <xdr:spPr>
          <a:xfrm rot="16200000" flipH="1">
            <a:off x="6646891" y="1985428"/>
            <a:ext cx="2277266" cy="2042811"/>
          </a:xfrm>
          <a:prstGeom prst="line">
            <a:avLst/>
          </a:prstGeom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 rot="10800000" flipV="1">
            <a:off x="4713233" y="1858672"/>
            <a:ext cx="2058960" cy="2296323"/>
          </a:xfrm>
          <a:prstGeom prst="line">
            <a:avLst/>
          </a:prstGeom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3" name="Straight Connector 62"/>
          <xdr:cNvCxnSpPr/>
        </xdr:nvCxnSpPr>
        <xdr:spPr>
          <a:xfrm>
            <a:off x="4713233" y="1858672"/>
            <a:ext cx="2058960" cy="2286795"/>
          </a:xfrm>
          <a:prstGeom prst="line">
            <a:avLst/>
          </a:prstGeom>
          <a:effectLst>
            <a:outerShdw dist="20000" sx="1000" sy="1000" rotWithShape="0">
              <a:srgbClr val="000000"/>
            </a:outerShdw>
          </a:effectLst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4" name="Flowchart: Connector 63"/>
          <xdr:cNvSpPr/>
        </xdr:nvSpPr>
        <xdr:spPr>
          <a:xfrm>
            <a:off x="4689009" y="1801502"/>
            <a:ext cx="88818" cy="104811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5" name="Flowchart: Connector 64"/>
          <xdr:cNvSpPr/>
        </xdr:nvSpPr>
        <xdr:spPr>
          <a:xfrm>
            <a:off x="6731821" y="1801502"/>
            <a:ext cx="80744" cy="114340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6" name="Flowchart: Connector 65"/>
          <xdr:cNvSpPr/>
        </xdr:nvSpPr>
        <xdr:spPr>
          <a:xfrm>
            <a:off x="8766558" y="1811030"/>
            <a:ext cx="80744" cy="114340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7" name="Flowchart: Connector 66"/>
          <xdr:cNvSpPr/>
        </xdr:nvSpPr>
        <xdr:spPr>
          <a:xfrm>
            <a:off x="4713233" y="4069240"/>
            <a:ext cx="88818" cy="114340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8" name="Flowchart: Connector 67"/>
          <xdr:cNvSpPr/>
        </xdr:nvSpPr>
        <xdr:spPr>
          <a:xfrm>
            <a:off x="6731821" y="4078768"/>
            <a:ext cx="80744" cy="114340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69" name="Flowchart: Connector 68"/>
          <xdr:cNvSpPr/>
        </xdr:nvSpPr>
        <xdr:spPr>
          <a:xfrm>
            <a:off x="8774632" y="4088297"/>
            <a:ext cx="80744" cy="114340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70" name="Isosceles Triangle 69"/>
          <xdr:cNvSpPr/>
        </xdr:nvSpPr>
        <xdr:spPr>
          <a:xfrm rot="5400000">
            <a:off x="4520733" y="1804734"/>
            <a:ext cx="247736" cy="88818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71" name="Isosceles Triangle 70"/>
          <xdr:cNvSpPr/>
        </xdr:nvSpPr>
        <xdr:spPr>
          <a:xfrm rot="5400000">
            <a:off x="4544956" y="4091529"/>
            <a:ext cx="247736" cy="88818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tlCol="1" anchor="ctr"/>
          <a:lstStyle/>
          <a:p>
            <a:pPr algn="ctr"/>
            <a:endParaRPr lang="fa-IR" sz="1100"/>
          </a:p>
        </xdr:txBody>
      </xdr:sp>
      <xdr:sp macro="" textlink="">
        <xdr:nvSpPr>
          <xdr:cNvPr id="72" name="TextBox 71"/>
          <xdr:cNvSpPr txBox="1"/>
        </xdr:nvSpPr>
        <xdr:spPr>
          <a:xfrm>
            <a:off x="4689009" y="1629992"/>
            <a:ext cx="96892" cy="133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5</a:t>
            </a:r>
            <a:endParaRPr lang="fa-IR" sz="1100"/>
          </a:p>
        </xdr:txBody>
      </xdr:sp>
      <xdr:sp macro="" textlink="">
        <xdr:nvSpPr>
          <xdr:cNvPr id="73" name="TextBox 72"/>
          <xdr:cNvSpPr txBox="1"/>
        </xdr:nvSpPr>
        <xdr:spPr>
          <a:xfrm>
            <a:off x="4689009" y="4231221"/>
            <a:ext cx="96892" cy="142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6</a:t>
            </a:r>
            <a:endParaRPr lang="fa-IR" sz="1100"/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6667226" y="1620464"/>
            <a:ext cx="96892" cy="133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3</a:t>
            </a:r>
            <a:endParaRPr lang="fa-IR" sz="1100"/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6667226" y="4231221"/>
            <a:ext cx="96892" cy="142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4</a:t>
            </a:r>
            <a:endParaRPr lang="fa-IR" sz="1100"/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8710037" y="1639521"/>
            <a:ext cx="96892" cy="142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1</a:t>
            </a:r>
            <a:endParaRPr lang="fa-IR" sz="1100"/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8710037" y="4231221"/>
            <a:ext cx="96892" cy="133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2</a:t>
            </a:r>
            <a:endParaRPr lang="fa-IR" sz="1100"/>
          </a:p>
        </xdr:txBody>
      </xdr:sp>
      <xdr:cxnSp macro="">
        <xdr:nvCxnSpPr>
          <xdr:cNvPr id="80" name="Straight Arrow Connector 79"/>
          <xdr:cNvCxnSpPr/>
        </xdr:nvCxnSpPr>
        <xdr:spPr>
          <a:xfrm rot="5400000" flipH="1" flipV="1">
            <a:off x="4607772" y="1353671"/>
            <a:ext cx="323963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Arrow Connector 84"/>
          <xdr:cNvCxnSpPr/>
        </xdr:nvCxnSpPr>
        <xdr:spPr>
          <a:xfrm>
            <a:off x="4769753" y="1515653"/>
            <a:ext cx="30682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TextBox 85"/>
          <xdr:cNvSpPr txBox="1"/>
        </xdr:nvSpPr>
        <xdr:spPr>
          <a:xfrm>
            <a:off x="5092727" y="1429898"/>
            <a:ext cx="96892" cy="142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3</a:t>
            </a:r>
            <a:endParaRPr lang="fa-IR" sz="1100"/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4672861" y="1001124"/>
            <a:ext cx="104967" cy="142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4</a:t>
            </a:r>
            <a:endParaRPr lang="fa-IR" sz="1100"/>
          </a:p>
        </xdr:txBody>
      </xdr:sp>
      <xdr:cxnSp macro="">
        <xdr:nvCxnSpPr>
          <xdr:cNvPr id="99" name="Straight Arrow Connector 98"/>
          <xdr:cNvCxnSpPr/>
        </xdr:nvCxnSpPr>
        <xdr:spPr>
          <a:xfrm>
            <a:off x="6756044" y="1506124"/>
            <a:ext cx="31490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Arrow Connector 100"/>
          <xdr:cNvCxnSpPr/>
        </xdr:nvCxnSpPr>
        <xdr:spPr>
          <a:xfrm rot="5400000" flipH="1" flipV="1">
            <a:off x="6598826" y="1348908"/>
            <a:ext cx="314434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/>
          <xdr:cNvSpPr txBox="1"/>
        </xdr:nvSpPr>
        <xdr:spPr>
          <a:xfrm>
            <a:off x="6659152" y="1020180"/>
            <a:ext cx="96892" cy="142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8</a:t>
            </a:r>
            <a:endParaRPr lang="fa-IR" sz="1100"/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7095167" y="1429898"/>
            <a:ext cx="104967" cy="1429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/>
              <a:t>7</a:t>
            </a:r>
            <a:endParaRPr lang="fa-IR" sz="1100"/>
          </a:p>
        </xdr:txBody>
      </xdr:sp>
      <xdr:cxnSp macro="">
        <xdr:nvCxnSpPr>
          <xdr:cNvPr id="105" name="Straight Arrow Connector 104"/>
          <xdr:cNvCxnSpPr/>
        </xdr:nvCxnSpPr>
        <xdr:spPr>
          <a:xfrm>
            <a:off x="8806930" y="1553766"/>
            <a:ext cx="31490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Arrow Connector 106"/>
          <xdr:cNvCxnSpPr/>
        </xdr:nvCxnSpPr>
        <xdr:spPr>
          <a:xfrm rot="5400000" flipH="1" flipV="1">
            <a:off x="8659240" y="1406078"/>
            <a:ext cx="2953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TextBox 109"/>
          <xdr:cNvSpPr txBox="1"/>
        </xdr:nvSpPr>
        <xdr:spPr>
          <a:xfrm>
            <a:off x="9154127" y="1363200"/>
            <a:ext cx="363346" cy="3906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l"/>
            <a:r>
              <a:rPr lang="en-US" sz="900"/>
              <a:t>11</a:t>
            </a:r>
            <a:endParaRPr lang="fa-IR" sz="900"/>
          </a:p>
        </xdr:txBody>
      </xdr:sp>
      <xdr:sp macro="" textlink="">
        <xdr:nvSpPr>
          <xdr:cNvPr id="111" name="TextBox 110"/>
          <xdr:cNvSpPr txBox="1"/>
        </xdr:nvSpPr>
        <xdr:spPr>
          <a:xfrm>
            <a:off x="8621220" y="1029709"/>
            <a:ext cx="371420" cy="2000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b"/>
          <a:lstStyle/>
          <a:p>
            <a:pPr algn="ctr"/>
            <a:r>
              <a:rPr lang="en-US" sz="900"/>
              <a:t>12</a:t>
            </a:r>
            <a:endParaRPr lang="fa-IR" sz="900"/>
          </a:p>
        </xdr:txBody>
      </xdr:sp>
      <xdr:cxnSp macro="">
        <xdr:nvCxnSpPr>
          <xdr:cNvPr id="113" name="Straight Arrow Connector 112"/>
          <xdr:cNvCxnSpPr/>
        </xdr:nvCxnSpPr>
        <xdr:spPr>
          <a:xfrm>
            <a:off x="4753604" y="5060184"/>
            <a:ext cx="347197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Arrow Connector 114"/>
          <xdr:cNvCxnSpPr/>
        </xdr:nvCxnSpPr>
        <xdr:spPr>
          <a:xfrm rot="5400000" flipH="1" flipV="1">
            <a:off x="4591623" y="4898203"/>
            <a:ext cx="323963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Box 115"/>
          <xdr:cNvSpPr txBox="1"/>
        </xdr:nvSpPr>
        <xdr:spPr>
          <a:xfrm>
            <a:off x="4567894" y="4574240"/>
            <a:ext cx="363346" cy="1524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2</a:t>
            </a:r>
            <a:endParaRPr lang="fa-IR" sz="900"/>
          </a:p>
        </xdr:txBody>
      </xdr:sp>
      <xdr:cxnSp macro="">
        <xdr:nvCxnSpPr>
          <xdr:cNvPr id="118" name="Straight Arrow Connector 117"/>
          <xdr:cNvCxnSpPr/>
        </xdr:nvCxnSpPr>
        <xdr:spPr>
          <a:xfrm>
            <a:off x="6756044" y="5088769"/>
            <a:ext cx="31490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Arrow Connector 119"/>
          <xdr:cNvCxnSpPr/>
        </xdr:nvCxnSpPr>
        <xdr:spPr>
          <a:xfrm rot="5400000" flipH="1" flipV="1">
            <a:off x="6608355" y="4941081"/>
            <a:ext cx="2953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TextBox 120"/>
          <xdr:cNvSpPr txBox="1"/>
        </xdr:nvSpPr>
        <xdr:spPr>
          <a:xfrm>
            <a:off x="5125025" y="4955373"/>
            <a:ext cx="226082" cy="21915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l"/>
            <a:r>
              <a:rPr lang="en-US" sz="900"/>
              <a:t>1</a:t>
            </a:r>
            <a:endParaRPr lang="fa-IR" sz="900"/>
          </a:p>
        </xdr:txBody>
      </xdr:sp>
      <xdr:sp macro="" textlink="">
        <xdr:nvSpPr>
          <xdr:cNvPr id="122" name="TextBox 121"/>
          <xdr:cNvSpPr txBox="1"/>
        </xdr:nvSpPr>
        <xdr:spPr>
          <a:xfrm flipH="1">
            <a:off x="7095167" y="4974430"/>
            <a:ext cx="48446" cy="21915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5</a:t>
            </a:r>
            <a:endParaRPr lang="fa-IR" sz="900"/>
          </a:p>
        </xdr:txBody>
      </xdr:sp>
      <xdr:sp macro="" textlink="">
        <xdr:nvSpPr>
          <xdr:cNvPr id="123" name="TextBox 122"/>
          <xdr:cNvSpPr txBox="1"/>
        </xdr:nvSpPr>
        <xdr:spPr>
          <a:xfrm>
            <a:off x="6626854" y="4640939"/>
            <a:ext cx="137264" cy="1238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r"/>
            <a:r>
              <a:rPr lang="en-US" sz="900"/>
              <a:t>6</a:t>
            </a:r>
            <a:endParaRPr lang="fa-IR" sz="900"/>
          </a:p>
        </xdr:txBody>
      </xdr:sp>
      <xdr:cxnSp macro="">
        <xdr:nvCxnSpPr>
          <xdr:cNvPr id="125" name="Straight Arrow Connector 124"/>
          <xdr:cNvCxnSpPr/>
        </xdr:nvCxnSpPr>
        <xdr:spPr>
          <a:xfrm>
            <a:off x="8815004" y="5060184"/>
            <a:ext cx="30682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Arrow Connector 126"/>
          <xdr:cNvCxnSpPr/>
        </xdr:nvCxnSpPr>
        <xdr:spPr>
          <a:xfrm rot="5400000" flipH="1" flipV="1">
            <a:off x="8667315" y="4922024"/>
            <a:ext cx="2953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TextBox 129"/>
          <xdr:cNvSpPr txBox="1"/>
        </xdr:nvSpPr>
        <xdr:spPr>
          <a:xfrm flipH="1">
            <a:off x="9154127" y="4955373"/>
            <a:ext cx="48446" cy="2286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9</a:t>
            </a:r>
            <a:endParaRPr lang="fa-IR" sz="900"/>
          </a:p>
        </xdr:txBody>
      </xdr:sp>
      <xdr:sp macro="" textlink="">
        <xdr:nvSpPr>
          <xdr:cNvPr id="131" name="TextBox 130"/>
          <xdr:cNvSpPr txBox="1"/>
        </xdr:nvSpPr>
        <xdr:spPr>
          <a:xfrm flipH="1">
            <a:off x="8637368" y="4574240"/>
            <a:ext cx="355272" cy="1619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900"/>
              <a:t>10</a:t>
            </a:r>
            <a:endParaRPr lang="fa-IR" sz="900"/>
          </a:p>
        </xdr:txBody>
      </xdr:sp>
      <xdr:cxnSp macro="">
        <xdr:nvCxnSpPr>
          <xdr:cNvPr id="133" name="Straight Arrow Connector 132"/>
          <xdr:cNvCxnSpPr/>
        </xdr:nvCxnSpPr>
        <xdr:spPr>
          <a:xfrm>
            <a:off x="4761679" y="4469429"/>
            <a:ext cx="2026663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Arrow Connector 134"/>
          <xdr:cNvCxnSpPr/>
        </xdr:nvCxnSpPr>
        <xdr:spPr>
          <a:xfrm>
            <a:off x="6772193" y="4469429"/>
            <a:ext cx="205896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Arrow Connector 136"/>
          <xdr:cNvCxnSpPr/>
        </xdr:nvCxnSpPr>
        <xdr:spPr>
          <a:xfrm rot="5400000">
            <a:off x="8012184" y="3002069"/>
            <a:ext cx="2267738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Connector 138"/>
          <xdr:cNvCxnSpPr/>
        </xdr:nvCxnSpPr>
        <xdr:spPr>
          <a:xfrm>
            <a:off x="9057235" y="1868200"/>
            <a:ext cx="18571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/>
          <xdr:cNvCxnSpPr/>
        </xdr:nvCxnSpPr>
        <xdr:spPr>
          <a:xfrm>
            <a:off x="9057235" y="4145466"/>
            <a:ext cx="17763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154"/>
          <xdr:cNvCxnSpPr/>
        </xdr:nvCxnSpPr>
        <xdr:spPr>
          <a:xfrm rot="5400000">
            <a:off x="6694512" y="4459901"/>
            <a:ext cx="17151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/>
          <xdr:cNvCxnSpPr/>
        </xdr:nvCxnSpPr>
        <xdr:spPr>
          <a:xfrm rot="5400000">
            <a:off x="8754926" y="4469429"/>
            <a:ext cx="15245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Straight Connector 160"/>
          <xdr:cNvCxnSpPr/>
        </xdr:nvCxnSpPr>
        <xdr:spPr>
          <a:xfrm rot="5400000">
            <a:off x="4695707" y="4460628"/>
            <a:ext cx="123868" cy="80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TextBox 161"/>
          <xdr:cNvSpPr txBox="1"/>
        </xdr:nvSpPr>
        <xdr:spPr>
          <a:xfrm>
            <a:off x="5698304" y="4364618"/>
            <a:ext cx="355272" cy="2286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 b="1"/>
              <a:t>L</a:t>
            </a:r>
            <a:endParaRPr lang="fa-IR" sz="1100" b="1"/>
          </a:p>
        </xdr:txBody>
      </xdr:sp>
      <xdr:sp macro="" textlink="">
        <xdr:nvSpPr>
          <xdr:cNvPr id="163" name="TextBox 162"/>
          <xdr:cNvSpPr txBox="1"/>
        </xdr:nvSpPr>
        <xdr:spPr>
          <a:xfrm>
            <a:off x="7668446" y="4336033"/>
            <a:ext cx="411792" cy="2572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ctr"/>
          <a:lstStyle/>
          <a:p>
            <a:pPr algn="ctr"/>
            <a:r>
              <a:rPr lang="en-US" sz="1100" b="1"/>
              <a:t>L</a:t>
            </a:r>
            <a:endParaRPr lang="fa-IR" sz="1100" b="1"/>
          </a:p>
        </xdr:txBody>
      </xdr:sp>
      <xdr:sp macro="" textlink="">
        <xdr:nvSpPr>
          <xdr:cNvPr id="164" name="TextBox 163"/>
          <xdr:cNvSpPr txBox="1"/>
        </xdr:nvSpPr>
        <xdr:spPr>
          <a:xfrm>
            <a:off x="9057235" y="2811503"/>
            <a:ext cx="201859" cy="3906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1" anchor="t"/>
          <a:lstStyle/>
          <a:p>
            <a:pPr algn="ctr"/>
            <a:r>
              <a:rPr lang="en-US" sz="1100" b="1"/>
              <a:t>h</a:t>
            </a:r>
            <a:endParaRPr lang="fa-IR" sz="1100" b="1"/>
          </a:p>
        </xdr:txBody>
      </xdr:sp>
      <xdr:sp macro="" textlink="">
        <xdr:nvSpPr>
          <xdr:cNvPr id="167" name="Flowchart: Connector 166"/>
          <xdr:cNvSpPr/>
        </xdr:nvSpPr>
        <xdr:spPr>
          <a:xfrm>
            <a:off x="5682155" y="1487068"/>
            <a:ext cx="282602" cy="323963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1</a:t>
            </a:r>
            <a:endParaRPr lang="fa-IR" sz="800"/>
          </a:p>
        </xdr:txBody>
      </xdr:sp>
      <xdr:sp macro="" textlink="">
        <xdr:nvSpPr>
          <xdr:cNvPr id="173" name="Flowchart: Connector 172"/>
          <xdr:cNvSpPr/>
        </xdr:nvSpPr>
        <xdr:spPr>
          <a:xfrm>
            <a:off x="7692669" y="1487068"/>
            <a:ext cx="298751" cy="323963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2</a:t>
            </a:r>
            <a:endParaRPr lang="fa-IR" sz="800"/>
          </a:p>
        </xdr:txBody>
      </xdr:sp>
      <xdr:sp macro="" textlink="">
        <xdr:nvSpPr>
          <xdr:cNvPr id="174" name="Flowchart: Connector 173"/>
          <xdr:cNvSpPr/>
        </xdr:nvSpPr>
        <xdr:spPr>
          <a:xfrm>
            <a:off x="5666006" y="3764334"/>
            <a:ext cx="290677" cy="333491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3</a:t>
            </a:r>
            <a:endParaRPr lang="fa-IR" sz="800"/>
          </a:p>
        </xdr:txBody>
      </xdr:sp>
      <xdr:sp macro="" textlink="">
        <xdr:nvSpPr>
          <xdr:cNvPr id="175" name="Flowchart: Connector 174"/>
          <xdr:cNvSpPr/>
        </xdr:nvSpPr>
        <xdr:spPr>
          <a:xfrm>
            <a:off x="7708818" y="3764334"/>
            <a:ext cx="306825" cy="333491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4</a:t>
            </a:r>
            <a:endParaRPr lang="fa-IR" sz="800"/>
          </a:p>
        </xdr:txBody>
      </xdr:sp>
      <xdr:sp macro="" textlink="">
        <xdr:nvSpPr>
          <xdr:cNvPr id="176" name="Flowchart: Connector 175"/>
          <xdr:cNvSpPr/>
        </xdr:nvSpPr>
        <xdr:spPr>
          <a:xfrm>
            <a:off x="6804490" y="2801975"/>
            <a:ext cx="282602" cy="333491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5</a:t>
            </a:r>
            <a:endParaRPr lang="fa-IR" sz="800"/>
          </a:p>
        </xdr:txBody>
      </xdr:sp>
      <xdr:sp macro="" textlink="">
        <xdr:nvSpPr>
          <xdr:cNvPr id="177" name="Flowchart: Connector 176"/>
          <xdr:cNvSpPr/>
        </xdr:nvSpPr>
        <xdr:spPr>
          <a:xfrm>
            <a:off x="8467807" y="2849616"/>
            <a:ext cx="290677" cy="323963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6</a:t>
            </a:r>
            <a:endParaRPr lang="fa-IR" sz="800"/>
          </a:p>
        </xdr:txBody>
      </xdr:sp>
      <xdr:sp macro="" textlink="">
        <xdr:nvSpPr>
          <xdr:cNvPr id="178" name="Flowchart: Connector 177"/>
          <xdr:cNvSpPr/>
        </xdr:nvSpPr>
        <xdr:spPr>
          <a:xfrm>
            <a:off x="6077798" y="3097352"/>
            <a:ext cx="298751" cy="333491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7</a:t>
            </a:r>
            <a:endParaRPr lang="fa-IR" sz="800"/>
          </a:p>
        </xdr:txBody>
      </xdr:sp>
      <xdr:sp macro="" textlink="">
        <xdr:nvSpPr>
          <xdr:cNvPr id="179" name="Flowchart: Connector 178"/>
          <xdr:cNvSpPr/>
        </xdr:nvSpPr>
        <xdr:spPr>
          <a:xfrm>
            <a:off x="5932460" y="2182634"/>
            <a:ext cx="290677" cy="333491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8</a:t>
            </a:r>
            <a:endParaRPr lang="fa-IR" sz="800"/>
          </a:p>
        </xdr:txBody>
      </xdr:sp>
      <xdr:sp macro="" textlink="">
        <xdr:nvSpPr>
          <xdr:cNvPr id="180" name="Flowchart: Connector 179"/>
          <xdr:cNvSpPr/>
        </xdr:nvSpPr>
        <xdr:spPr>
          <a:xfrm>
            <a:off x="8152907" y="3125937"/>
            <a:ext cx="290677" cy="333491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/>
            <a:r>
              <a:rPr lang="en-US" sz="800"/>
              <a:t>9</a:t>
            </a:r>
            <a:endParaRPr lang="fa-IR" sz="800"/>
          </a:p>
        </xdr:txBody>
      </xdr:sp>
      <xdr:sp macro="" textlink="">
        <xdr:nvSpPr>
          <xdr:cNvPr id="181" name="Flowchart: Connector 180"/>
          <xdr:cNvSpPr/>
        </xdr:nvSpPr>
        <xdr:spPr>
          <a:xfrm>
            <a:off x="7902602" y="2230276"/>
            <a:ext cx="322974" cy="333491"/>
          </a:xfrm>
          <a:prstGeom prst="flowChartConnector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1" anchor="ctr"/>
          <a:lstStyle/>
          <a:p>
            <a:pPr algn="ctr">
              <a:lnSpc>
                <a:spcPts val="800"/>
              </a:lnSpc>
            </a:pPr>
            <a:r>
              <a:rPr lang="en-US" sz="800"/>
              <a:t>10</a:t>
            </a:r>
            <a:endParaRPr lang="fa-IR" sz="8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104775</xdr:colOff>
      <xdr:row>0</xdr:row>
      <xdr:rowOff>66675</xdr:rowOff>
    </xdr:from>
    <xdr:to>
      <xdr:col>40</xdr:col>
      <xdr:colOff>457200</xdr:colOff>
      <xdr:row>28</xdr:row>
      <xdr:rowOff>123825</xdr:rowOff>
    </xdr:to>
    <xdr:graphicFrame macro="">
      <xdr:nvGraphicFramePr>
        <xdr:cNvPr id="15213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889000</xdr:colOff>
      <xdr:row>0</xdr:row>
      <xdr:rowOff>57150</xdr:rowOff>
    </xdr:from>
    <xdr:to>
      <xdr:col>31</xdr:col>
      <xdr:colOff>9526</xdr:colOff>
      <xdr:row>28</xdr:row>
      <xdr:rowOff>111125</xdr:rowOff>
    </xdr:to>
    <xdr:grpSp>
      <xdr:nvGrpSpPr>
        <xdr:cNvPr id="15214" name="Group 347"/>
        <xdr:cNvGrpSpPr>
          <a:grpSpLocks/>
        </xdr:cNvGrpSpPr>
      </xdr:nvGrpSpPr>
      <xdr:grpSpPr bwMode="auto">
        <a:xfrm>
          <a:off x="11706679" y="57150"/>
          <a:ext cx="8482240" cy="5741761"/>
          <a:chOff x="14992023" y="54771"/>
          <a:chExt cx="7007012" cy="5619687"/>
        </a:xfrm>
      </xdr:grpSpPr>
      <xdr:grpSp>
        <xdr:nvGrpSpPr>
          <xdr:cNvPr id="15215" name="Group 322"/>
          <xdr:cNvGrpSpPr>
            <a:grpSpLocks/>
          </xdr:cNvGrpSpPr>
        </xdr:nvGrpSpPr>
        <xdr:grpSpPr bwMode="auto">
          <a:xfrm>
            <a:off x="14992023" y="54771"/>
            <a:ext cx="7007012" cy="5619687"/>
            <a:chOff x="14987699" y="83345"/>
            <a:chExt cx="7020867" cy="5598039"/>
          </a:xfrm>
        </xdr:grpSpPr>
        <xdr:grpSp>
          <xdr:nvGrpSpPr>
            <xdr:cNvPr id="15233" name="Group 137"/>
            <xdr:cNvGrpSpPr>
              <a:grpSpLocks/>
            </xdr:cNvGrpSpPr>
          </xdr:nvGrpSpPr>
          <xdr:grpSpPr bwMode="auto">
            <a:xfrm>
              <a:off x="14987699" y="83345"/>
              <a:ext cx="7020867" cy="5598039"/>
              <a:chOff x="15120075" y="121691"/>
              <a:chExt cx="6867385" cy="5633790"/>
            </a:xfrm>
          </xdr:grpSpPr>
          <xdr:grpSp>
            <xdr:nvGrpSpPr>
              <xdr:cNvPr id="15246" name="Group 223"/>
              <xdr:cNvGrpSpPr>
                <a:grpSpLocks/>
              </xdr:cNvGrpSpPr>
            </xdr:nvGrpSpPr>
            <xdr:grpSpPr bwMode="auto">
              <a:xfrm>
                <a:off x="15120075" y="121691"/>
                <a:ext cx="6867385" cy="5633790"/>
                <a:chOff x="28417997" y="2760116"/>
                <a:chExt cx="6859051" cy="5683800"/>
              </a:xfrm>
            </xdr:grpSpPr>
            <xdr:grpSp>
              <xdr:nvGrpSpPr>
                <xdr:cNvPr id="15251" name="Group 197"/>
                <xdr:cNvGrpSpPr>
                  <a:grpSpLocks/>
                </xdr:cNvGrpSpPr>
              </xdr:nvGrpSpPr>
              <xdr:grpSpPr bwMode="auto">
                <a:xfrm>
                  <a:off x="28417997" y="2760116"/>
                  <a:ext cx="6859051" cy="5683800"/>
                  <a:chOff x="28417996" y="2760116"/>
                  <a:chExt cx="6857752" cy="5683057"/>
                </a:xfrm>
              </xdr:grpSpPr>
              <xdr:grpSp>
                <xdr:nvGrpSpPr>
                  <xdr:cNvPr id="15273" name="Group 150"/>
                  <xdr:cNvGrpSpPr>
                    <a:grpSpLocks/>
                  </xdr:cNvGrpSpPr>
                </xdr:nvGrpSpPr>
                <xdr:grpSpPr bwMode="auto">
                  <a:xfrm>
                    <a:off x="28417996" y="2760116"/>
                    <a:ext cx="6857752" cy="5683057"/>
                    <a:chOff x="28401339" y="2788691"/>
                    <a:chExt cx="6849390" cy="5711910"/>
                  </a:xfrm>
                </xdr:grpSpPr>
                <xdr:grpSp>
                  <xdr:nvGrpSpPr>
                    <xdr:cNvPr id="15284" name="Group 120"/>
                    <xdr:cNvGrpSpPr>
                      <a:grpSpLocks/>
                    </xdr:cNvGrpSpPr>
                  </xdr:nvGrpSpPr>
                  <xdr:grpSpPr bwMode="auto">
                    <a:xfrm>
                      <a:off x="28401339" y="2788691"/>
                      <a:ext cx="6849390" cy="5711910"/>
                      <a:chOff x="28703221" y="2772816"/>
                      <a:chExt cx="6706356" cy="5695880"/>
                    </a:xfrm>
                  </xdr:grpSpPr>
                  <xdr:sp macro="" textlink="">
                    <xdr:nvSpPr>
                      <xdr:cNvPr id="2" name="Rectangle 1"/>
                      <xdr:cNvSpPr/>
                    </xdr:nvSpPr>
                    <xdr:spPr>
                      <a:xfrm>
                        <a:off x="28703221" y="2772816"/>
                        <a:ext cx="6706356" cy="5695880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6"/>
                      </a:lnRef>
                      <a:fillRef idx="1">
                        <a:schemeClr val="lt1"/>
                      </a:fillRef>
                      <a:effectRef idx="0">
                        <a:schemeClr val="accent6"/>
                      </a:effectRef>
                      <a:fontRef idx="minor">
                        <a:schemeClr val="dk1"/>
                      </a:fontRef>
                    </xdr:style>
                    <xdr:txBody>
                      <a:bodyPr rtlCol="1" anchor="ctr"/>
                      <a:lstStyle/>
                      <a:p>
                        <a:pPr algn="ctr"/>
                        <a:endParaRPr lang="fa-IR" sz="1100"/>
                      </a:p>
                    </xdr:txBody>
                  </xdr:sp>
                  <xdr:grpSp>
                    <xdr:nvGrpSpPr>
                      <xdr:cNvPr id="15298" name="Group 27"/>
                      <xdr:cNvGrpSpPr>
                        <a:grpSpLocks/>
                      </xdr:cNvGrpSpPr>
                    </xdr:nvGrpSpPr>
                    <xdr:grpSpPr bwMode="auto">
                      <a:xfrm>
                        <a:off x="29812181" y="3396863"/>
                        <a:ext cx="3881796" cy="3985010"/>
                        <a:chOff x="29812181" y="3396863"/>
                        <a:chExt cx="3881796" cy="3985010"/>
                      </a:xfrm>
                    </xdr:grpSpPr>
                    <xdr:cxnSp macro="">
                      <xdr:nvCxnSpPr>
                        <xdr:cNvPr id="4" name="Straight Connector 3"/>
                        <xdr:cNvCxnSpPr/>
                      </xdr:nvCxnSpPr>
                      <xdr:spPr>
                        <a:xfrm rot="5400000" flipH="1" flipV="1">
                          <a:off x="28547894" y="5798753"/>
                          <a:ext cx="2722862" cy="0"/>
                        </a:xfrm>
                        <a:prstGeom prst="line">
                          <a:avLst/>
                        </a:prstGeom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" name="Straight Connector 5"/>
                        <xdr:cNvCxnSpPr/>
                      </xdr:nvCxnSpPr>
                      <xdr:spPr>
                        <a:xfrm flipV="1">
                          <a:off x="29909325" y="3398208"/>
                          <a:ext cx="1933926" cy="1048735"/>
                        </a:xfrm>
                        <a:prstGeom prst="line">
                          <a:avLst/>
                        </a:prstGeom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8" name="Straight Connector 7"/>
                        <xdr:cNvCxnSpPr/>
                      </xdr:nvCxnSpPr>
                      <xdr:spPr>
                        <a:xfrm>
                          <a:off x="31832854" y="3398208"/>
                          <a:ext cx="1777964" cy="1048735"/>
                        </a:xfrm>
                        <a:prstGeom prst="line">
                          <a:avLst/>
                        </a:prstGeom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" name="Straight Connector 19"/>
                        <xdr:cNvCxnSpPr/>
                      </xdr:nvCxnSpPr>
                      <xdr:spPr>
                        <a:xfrm rot="5400000" flipH="1" flipV="1">
                          <a:off x="32243801" y="5793942"/>
                          <a:ext cx="2713240" cy="0"/>
                        </a:xfrm>
                        <a:prstGeom prst="line">
                          <a:avLst/>
                        </a:prstGeom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3" name="Isosceles Triangle 22"/>
                        <xdr:cNvSpPr/>
                      </xdr:nvSpPr>
                      <xdr:spPr>
                        <a:xfrm>
                          <a:off x="29815748" y="7169805"/>
                          <a:ext cx="197552" cy="211671"/>
                        </a:xfrm>
                        <a:prstGeom prst="triangle">
                          <a:avLst/>
                        </a:prstGeom>
                      </xdr:spPr>
                      <xdr:style>
                        <a:lnRef idx="2">
                          <a:schemeClr val="accent6">
                            <a:shade val="50000"/>
                          </a:schemeClr>
                        </a:lnRef>
                        <a:fillRef idx="1">
                          <a:schemeClr val="accent6"/>
                        </a:fillRef>
                        <a:effectRef idx="0">
                          <a:schemeClr val="accent6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tlCol="1" anchor="ctr"/>
                        <a:lstStyle/>
                        <a:p>
                          <a:pPr algn="ctr"/>
                          <a:endParaRPr lang="fa-IR" sz="1100"/>
                        </a:p>
                      </xdr:txBody>
                    </xdr:sp>
                    <xdr:sp macro="" textlink="">
                      <xdr:nvSpPr>
                        <xdr:cNvPr id="27" name="Isosceles Triangle 26"/>
                        <xdr:cNvSpPr/>
                      </xdr:nvSpPr>
                      <xdr:spPr>
                        <a:xfrm>
                          <a:off x="33517241" y="7150562"/>
                          <a:ext cx="176757" cy="211671"/>
                        </a:xfrm>
                        <a:prstGeom prst="triangle">
                          <a:avLst/>
                        </a:prstGeom>
                      </xdr:spPr>
                      <xdr:style>
                        <a:lnRef idx="2">
                          <a:schemeClr val="accent6">
                            <a:shade val="50000"/>
                          </a:schemeClr>
                        </a:lnRef>
                        <a:fillRef idx="1">
                          <a:schemeClr val="accent6"/>
                        </a:fillRef>
                        <a:effectRef idx="0">
                          <a:schemeClr val="accent6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tlCol="1" anchor="ctr"/>
                        <a:lstStyle/>
                        <a:p>
                          <a:pPr algn="ctr"/>
                          <a:endParaRPr lang="fa-IR" sz="1100"/>
                        </a:p>
                      </xdr:txBody>
                    </xdr:sp>
                  </xdr:grpSp>
                  <xdr:grpSp>
                    <xdr:nvGrpSpPr>
                      <xdr:cNvPr id="15299" name="Group 65"/>
                      <xdr:cNvGrpSpPr>
                        <a:grpSpLocks/>
                      </xdr:cNvGrpSpPr>
                    </xdr:nvGrpSpPr>
                    <xdr:grpSpPr bwMode="auto">
                      <a:xfrm>
                        <a:off x="29095264" y="6716794"/>
                        <a:ext cx="683775" cy="605437"/>
                        <a:chOff x="28682514" y="6610961"/>
                        <a:chExt cx="683775" cy="605437"/>
                      </a:xfrm>
                    </xdr:grpSpPr>
                    <xdr:grpSp>
                      <xdr:nvGrpSpPr>
                        <xdr:cNvPr id="15344" name="Group 58"/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28849734" y="6737846"/>
                          <a:ext cx="409406" cy="478552"/>
                          <a:chOff x="29271854" y="6638358"/>
                          <a:chExt cx="409406" cy="478552"/>
                        </a:xfrm>
                      </xdr:grpSpPr>
                      <xdr:cxnSp macro="">
                        <xdr:nvCxnSpPr>
                          <xdr:cNvPr id="32" name="Straight Arrow Connector 31"/>
                          <xdr:cNvCxnSpPr/>
                        </xdr:nvCxnSpPr>
                        <xdr:spPr>
                          <a:xfrm rot="5400000" flipH="1" flipV="1">
                            <a:off x="29254502" y="6781676"/>
                            <a:ext cx="288643" cy="0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4" name="Straight Arrow Connector 33"/>
                          <xdr:cNvCxnSpPr/>
                        </xdr:nvCxnSpPr>
                        <xdr:spPr>
                          <a:xfrm>
                            <a:off x="29398823" y="6916376"/>
                            <a:ext cx="280732" cy="9621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53" name="Arc 52"/>
                          <xdr:cNvSpPr/>
                        </xdr:nvSpPr>
                        <xdr:spPr>
                          <a:xfrm>
                            <a:off x="29284451" y="6781676"/>
                            <a:ext cx="239142" cy="336750"/>
                          </a:xfrm>
                          <a:prstGeom prst="arc">
                            <a:avLst>
                              <a:gd name="adj1" fmla="val 11163251"/>
                              <a:gd name="adj2" fmla="val 20902006"/>
                            </a:avLst>
                          </a:prstGeom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  <xdr:txBody>
                          <a:bodyPr rtlCol="1" anchor="ctr"/>
                          <a:lstStyle/>
                          <a:p>
                            <a:pPr algn="ctr"/>
                            <a:endParaRPr lang="fa-IR" sz="1100"/>
                          </a:p>
                        </xdr:txBody>
                      </xdr:sp>
                      <xdr:cxnSp macro="">
                        <xdr:nvCxnSpPr>
                          <xdr:cNvPr id="55" name="Straight Connector 54"/>
                          <xdr:cNvCxnSpPr/>
                        </xdr:nvCxnSpPr>
                        <xdr:spPr>
                          <a:xfrm rot="5400000" flipH="1">
                            <a:off x="29240767" y="6891934"/>
                            <a:ext cx="76971" cy="10397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7" name="Straight Connector 56"/>
                          <xdr:cNvCxnSpPr/>
                        </xdr:nvCxnSpPr>
                        <xdr:spPr>
                          <a:xfrm rot="5400000" flipH="1" flipV="1">
                            <a:off x="29275994" y="6885572"/>
                            <a:ext cx="48107" cy="51987"/>
                          </a:xfrm>
                          <a:prstGeom prst="line">
                            <a:avLst/>
                          </a:prstGeom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60" name="TextBox 59"/>
                        <xdr:cNvSpPr txBox="1"/>
                      </xdr:nvSpPr>
                      <xdr:spPr>
                        <a:xfrm>
                          <a:off x="29267831" y="6977379"/>
                          <a:ext cx="93577" cy="10583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1" anchor="ctr"/>
                        <a:lstStyle/>
                        <a:p>
                          <a:pPr algn="ctr"/>
                          <a:r>
                            <a:rPr lang="en-US" sz="1100"/>
                            <a:t>1</a:t>
                          </a:r>
                          <a:endParaRPr lang="fa-IR" sz="1100"/>
                        </a:p>
                      </xdr:txBody>
                    </xdr:sp>
                    <xdr:sp macro="" textlink="">
                      <xdr:nvSpPr>
                        <xdr:cNvPr id="61" name="TextBox 60"/>
                        <xdr:cNvSpPr txBox="1"/>
                      </xdr:nvSpPr>
                      <xdr:spPr>
                        <a:xfrm>
                          <a:off x="28893523" y="6611765"/>
                          <a:ext cx="83180" cy="115457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1" anchor="ctr"/>
                        <a:lstStyle/>
                        <a:p>
                          <a:pPr algn="ctr"/>
                          <a:r>
                            <a:rPr lang="en-US" sz="1100"/>
                            <a:t>2</a:t>
                          </a:r>
                          <a:endParaRPr lang="fa-IR" sz="1100"/>
                        </a:p>
                      </xdr:txBody>
                    </xdr:sp>
                    <xdr:sp macro="" textlink="">
                      <xdr:nvSpPr>
                        <xdr:cNvPr id="62" name="TextBox 61"/>
                        <xdr:cNvSpPr txBox="1"/>
                      </xdr:nvSpPr>
                      <xdr:spPr>
                        <a:xfrm>
                          <a:off x="28685574" y="6958136"/>
                          <a:ext cx="93577" cy="115457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1" anchor="ctr"/>
                        <a:lstStyle/>
                        <a:p>
                          <a:pPr algn="ctr"/>
                          <a:r>
                            <a:rPr lang="en-US" sz="1100"/>
                            <a:t>3</a:t>
                          </a:r>
                          <a:endParaRPr lang="fa-IR" sz="1100"/>
                        </a:p>
                      </xdr:txBody>
                    </xdr:sp>
                  </xdr:grpSp>
                  <xdr:grpSp>
                    <xdr:nvGrpSpPr>
                      <xdr:cNvPr id="15300" name="Group 77"/>
                      <xdr:cNvGrpSpPr>
                        <a:grpSpLocks/>
                      </xdr:cNvGrpSpPr>
                    </xdr:nvGrpSpPr>
                    <xdr:grpSpPr bwMode="auto">
                      <a:xfrm>
                        <a:off x="28744983" y="4014611"/>
                        <a:ext cx="1124010" cy="605437"/>
                        <a:chOff x="28618614" y="4014611"/>
                        <a:chExt cx="1124080" cy="605437"/>
                      </a:xfrm>
                    </xdr:grpSpPr>
                    <xdr:sp macro="" textlink="">
                      <xdr:nvSpPr>
                        <xdr:cNvPr id="69" name="TextBox 68"/>
                        <xdr:cNvSpPr txBox="1"/>
                      </xdr:nvSpPr>
                      <xdr:spPr>
                        <a:xfrm>
                          <a:off x="29419095" y="4379592"/>
                          <a:ext cx="322341" cy="10583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1" anchor="ctr"/>
                        <a:lstStyle/>
                        <a:p>
                          <a:pPr algn="l"/>
                          <a:r>
                            <a:rPr lang="en-US" sz="1100"/>
                            <a:t>13</a:t>
                          </a:r>
                          <a:endParaRPr lang="fa-IR" sz="1100"/>
                        </a:p>
                      </xdr:txBody>
                    </xdr:sp>
                    <xdr:grpSp>
                      <xdr:nvGrpSpPr>
                        <xdr:cNvPr id="15335" name="Group 76"/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28618614" y="4014611"/>
                          <a:ext cx="779958" cy="605437"/>
                          <a:chOff x="28618614" y="4014611"/>
                          <a:chExt cx="779958" cy="605437"/>
                        </a:xfrm>
                      </xdr:grpSpPr>
                      <xdr:grpSp>
                        <xdr:nvGrpSpPr>
                          <xdr:cNvPr id="15336" name="Group 58"/>
                          <xdr:cNvGrpSpPr>
                            <a:grpSpLocks/>
                          </xdr:cNvGrpSpPr>
                        </xdr:nvGrpSpPr>
                        <xdr:grpSpPr bwMode="auto">
                          <a:xfrm>
                            <a:off x="28989166" y="4141496"/>
                            <a:ext cx="409406" cy="478552"/>
                            <a:chOff x="29271854" y="6638358"/>
                            <a:chExt cx="409406" cy="478552"/>
                          </a:xfrm>
                        </xdr:grpSpPr>
                        <xdr:cxnSp macro="">
                          <xdr:nvCxnSpPr>
                            <xdr:cNvPr id="72" name="Straight Arrow Connector 71"/>
                            <xdr:cNvCxnSpPr/>
                          </xdr:nvCxnSpPr>
                          <xdr:spPr>
                            <a:xfrm rot="5400000" flipH="1" flipV="1">
                              <a:off x="29255917" y="6780240"/>
                              <a:ext cx="288643" cy="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73" name="Straight Arrow Connector 72"/>
                            <xdr:cNvCxnSpPr/>
                          </xdr:nvCxnSpPr>
                          <xdr:spPr>
                            <a:xfrm>
                              <a:off x="29400238" y="6914940"/>
                              <a:ext cx="280749" cy="9621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74" name="Arc 73"/>
                            <xdr:cNvSpPr/>
                          </xdr:nvSpPr>
                          <xdr:spPr>
                            <a:xfrm>
                              <a:off x="29285859" y="6780240"/>
                              <a:ext cx="239156" cy="336750"/>
                            </a:xfrm>
                            <a:prstGeom prst="arc">
                              <a:avLst>
                                <a:gd name="adj1" fmla="val 11163251"/>
                                <a:gd name="adj2" fmla="val 20688473"/>
                              </a:avLst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  <xdr:txBody>
                            <a:bodyPr rtlCol="1" anchor="ctr"/>
                            <a:lstStyle/>
                            <a:p>
                              <a:pPr algn="ctr"/>
                              <a:endParaRPr lang="fa-IR" sz="1100"/>
                            </a:p>
                          </xdr:txBody>
                        </xdr:sp>
                        <xdr:cxnSp macro="">
                          <xdr:nvCxnSpPr>
                            <xdr:cNvPr id="75" name="Straight Connector 74"/>
                            <xdr:cNvCxnSpPr/>
                          </xdr:nvCxnSpPr>
                          <xdr:spPr>
                            <a:xfrm rot="5400000" flipH="1">
                              <a:off x="29242175" y="6890497"/>
                              <a:ext cx="76971" cy="10398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76" name="Straight Connector 75"/>
                            <xdr:cNvCxnSpPr/>
                          </xdr:nvCxnSpPr>
                          <xdr:spPr>
                            <a:xfrm rot="5400000" flipH="1" flipV="1">
                              <a:off x="29277403" y="6884134"/>
                              <a:ext cx="48107" cy="51991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70" name="TextBox 69"/>
                          <xdr:cNvSpPr txBox="1"/>
                        </xdr:nvSpPr>
                        <xdr:spPr>
                          <a:xfrm>
                            <a:off x="28930385" y="4013979"/>
                            <a:ext cx="374332" cy="115457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ctr"/>
                            <a:r>
                              <a:rPr lang="en-US" sz="1100"/>
                              <a:t>14</a:t>
                            </a:r>
                            <a:endParaRPr lang="fa-IR" sz="1100"/>
                          </a:p>
                        </xdr:txBody>
                      </xdr:sp>
                      <xdr:sp macro="" textlink="">
                        <xdr:nvSpPr>
                          <xdr:cNvPr id="71" name="TextBox 70"/>
                          <xdr:cNvSpPr txBox="1"/>
                        </xdr:nvSpPr>
                        <xdr:spPr>
                          <a:xfrm>
                            <a:off x="28618442" y="4379592"/>
                            <a:ext cx="343137" cy="86593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r"/>
                            <a:r>
                              <a:rPr lang="en-US" sz="1100"/>
                              <a:t>15</a:t>
                            </a:r>
                            <a:endParaRPr lang="fa-IR" sz="1100"/>
                          </a:p>
                        </xdr:txBody>
                      </xdr:sp>
                    </xdr:grpSp>
                  </xdr:grpSp>
                  <xdr:grpSp>
                    <xdr:nvGrpSpPr>
                      <xdr:cNvPr id="15301" name="Group 81"/>
                      <xdr:cNvGrpSpPr>
                        <a:grpSpLocks/>
                      </xdr:cNvGrpSpPr>
                    </xdr:nvGrpSpPr>
                    <xdr:grpSpPr bwMode="auto">
                      <a:xfrm>
                        <a:off x="31267753" y="2844800"/>
                        <a:ext cx="1192388" cy="605437"/>
                        <a:chOff x="28553407" y="4014611"/>
                        <a:chExt cx="1189287" cy="605437"/>
                      </a:xfrm>
                    </xdr:grpSpPr>
                    <xdr:sp macro="" textlink="">
                      <xdr:nvSpPr>
                        <xdr:cNvPr id="83" name="TextBox 82"/>
                        <xdr:cNvSpPr txBox="1"/>
                      </xdr:nvSpPr>
                      <xdr:spPr>
                        <a:xfrm>
                          <a:off x="29407409" y="4375590"/>
                          <a:ext cx="331853" cy="10583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1" anchor="ctr"/>
                        <a:lstStyle/>
                        <a:p>
                          <a:pPr algn="l"/>
                          <a:r>
                            <a:rPr lang="en-US" sz="1100"/>
                            <a:t>25</a:t>
                          </a:r>
                          <a:endParaRPr lang="fa-IR" sz="1100"/>
                        </a:p>
                      </xdr:txBody>
                    </xdr:sp>
                    <xdr:grpSp>
                      <xdr:nvGrpSpPr>
                        <xdr:cNvPr id="15325" name="Group 76"/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28553407" y="4014611"/>
                          <a:ext cx="845165" cy="605437"/>
                          <a:chOff x="28553407" y="4014611"/>
                          <a:chExt cx="845165" cy="605437"/>
                        </a:xfrm>
                      </xdr:grpSpPr>
                      <xdr:grpSp>
                        <xdr:nvGrpSpPr>
                          <xdr:cNvPr id="15326" name="Group 58"/>
                          <xdr:cNvGrpSpPr>
                            <a:grpSpLocks/>
                          </xdr:cNvGrpSpPr>
                        </xdr:nvGrpSpPr>
                        <xdr:grpSpPr bwMode="auto">
                          <a:xfrm>
                            <a:off x="28989166" y="4141496"/>
                            <a:ext cx="409406" cy="478552"/>
                            <a:chOff x="29271854" y="6638358"/>
                            <a:chExt cx="409406" cy="478552"/>
                          </a:xfrm>
                        </xdr:grpSpPr>
                        <xdr:cxnSp macro="">
                          <xdr:nvCxnSpPr>
                            <xdr:cNvPr id="88" name="Straight Arrow Connector 87"/>
                            <xdr:cNvCxnSpPr/>
                          </xdr:nvCxnSpPr>
                          <xdr:spPr>
                            <a:xfrm rot="5400000" flipH="1" flipV="1">
                              <a:off x="29240972" y="6752185"/>
                              <a:ext cx="317507" cy="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89" name="Straight Arrow Connector 88"/>
                            <xdr:cNvCxnSpPr/>
                          </xdr:nvCxnSpPr>
                          <xdr:spPr>
                            <a:xfrm>
                              <a:off x="29399726" y="6901316"/>
                              <a:ext cx="280001" cy="9621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90" name="Arc 89"/>
                            <xdr:cNvSpPr/>
                          </xdr:nvSpPr>
                          <xdr:spPr>
                            <a:xfrm>
                              <a:off x="29285652" y="6737752"/>
                              <a:ext cx="238519" cy="375236"/>
                            </a:xfrm>
                            <a:prstGeom prst="arc">
                              <a:avLst>
                                <a:gd name="adj1" fmla="val 11163251"/>
                                <a:gd name="adj2" fmla="val 20688473"/>
                              </a:avLst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  <xdr:txBody>
                            <a:bodyPr rtlCol="1" anchor="ctr"/>
                            <a:lstStyle/>
                            <a:p>
                              <a:pPr algn="ctr"/>
                              <a:endParaRPr lang="fa-IR" sz="1100"/>
                            </a:p>
                          </xdr:txBody>
                        </xdr:sp>
                        <xdr:cxnSp macro="">
                          <xdr:nvCxnSpPr>
                            <xdr:cNvPr id="91" name="Straight Connector 90"/>
                            <xdr:cNvCxnSpPr/>
                          </xdr:nvCxnSpPr>
                          <xdr:spPr>
                            <a:xfrm rot="5400000" flipH="1">
                              <a:off x="29241981" y="6876888"/>
                              <a:ext cx="76971" cy="10370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92" name="Straight Connector 91"/>
                            <xdr:cNvCxnSpPr/>
                          </xdr:nvCxnSpPr>
                          <xdr:spPr>
                            <a:xfrm rot="5400000" flipH="1" flipV="1">
                              <a:off x="29277154" y="6870580"/>
                              <a:ext cx="48107" cy="51852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86" name="TextBox 85"/>
                          <xdr:cNvSpPr txBox="1"/>
                        </xdr:nvSpPr>
                        <xdr:spPr>
                          <a:xfrm>
                            <a:off x="28930371" y="4009977"/>
                            <a:ext cx="373335" cy="115457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ctr"/>
                            <a:r>
                              <a:rPr lang="en-US" sz="1100"/>
                              <a:t>26</a:t>
                            </a:r>
                            <a:endParaRPr lang="fa-IR" sz="1100"/>
                          </a:p>
                        </xdr:txBody>
                      </xdr:sp>
                      <xdr:sp macro="" textlink="">
                        <xdr:nvSpPr>
                          <xdr:cNvPr id="87" name="TextBox 86"/>
                          <xdr:cNvSpPr txBox="1"/>
                        </xdr:nvSpPr>
                        <xdr:spPr>
                          <a:xfrm>
                            <a:off x="28557036" y="4375590"/>
                            <a:ext cx="394076" cy="96214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r"/>
                            <a:r>
                              <a:rPr lang="en-US" sz="1100"/>
                              <a:t>27</a:t>
                            </a:r>
                            <a:endParaRPr lang="fa-IR" sz="1100"/>
                          </a:p>
                        </xdr:txBody>
                      </xdr:sp>
                    </xdr:grpSp>
                  </xdr:grpSp>
                  <xdr:grpSp>
                    <xdr:nvGrpSpPr>
                      <xdr:cNvPr id="15302" name="Group 98"/>
                      <xdr:cNvGrpSpPr>
                        <a:grpSpLocks/>
                      </xdr:cNvGrpSpPr>
                    </xdr:nvGrpSpPr>
                    <xdr:grpSpPr bwMode="auto">
                      <a:xfrm>
                        <a:off x="33643616" y="6665576"/>
                        <a:ext cx="1264066" cy="602262"/>
                        <a:chOff x="28553407" y="4014611"/>
                        <a:chExt cx="1265106" cy="605437"/>
                      </a:xfrm>
                    </xdr:grpSpPr>
                    <xdr:sp macro="" textlink="">
                      <xdr:nvSpPr>
                        <xdr:cNvPr id="100" name="TextBox 99"/>
                        <xdr:cNvSpPr txBox="1"/>
                      </xdr:nvSpPr>
                      <xdr:spPr>
                        <a:xfrm>
                          <a:off x="29415498" y="4376415"/>
                          <a:ext cx="405834" cy="106393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1" anchor="ctr"/>
                        <a:lstStyle/>
                        <a:p>
                          <a:pPr algn="l"/>
                          <a:r>
                            <a:rPr lang="en-US" sz="1100"/>
                            <a:t>49</a:t>
                          </a:r>
                          <a:endParaRPr lang="fa-IR" sz="1100"/>
                        </a:p>
                      </xdr:txBody>
                    </xdr:sp>
                    <xdr:grpSp>
                      <xdr:nvGrpSpPr>
                        <xdr:cNvPr id="15315" name="Group 76"/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28553407" y="4014611"/>
                          <a:ext cx="845165" cy="605437"/>
                          <a:chOff x="28553407" y="4014611"/>
                          <a:chExt cx="845165" cy="605437"/>
                        </a:xfrm>
                      </xdr:grpSpPr>
                      <xdr:grpSp>
                        <xdr:nvGrpSpPr>
                          <xdr:cNvPr id="15316" name="Group 58"/>
                          <xdr:cNvGrpSpPr>
                            <a:grpSpLocks/>
                          </xdr:cNvGrpSpPr>
                        </xdr:nvGrpSpPr>
                        <xdr:grpSpPr bwMode="auto">
                          <a:xfrm>
                            <a:off x="28989166" y="4141496"/>
                            <a:ext cx="409406" cy="478552"/>
                            <a:chOff x="29271854" y="6638358"/>
                            <a:chExt cx="409406" cy="478552"/>
                          </a:xfrm>
                        </xdr:grpSpPr>
                        <xdr:cxnSp macro="">
                          <xdr:nvCxnSpPr>
                            <xdr:cNvPr id="105" name="Straight Arrow Connector 104"/>
                            <xdr:cNvCxnSpPr/>
                          </xdr:nvCxnSpPr>
                          <xdr:spPr>
                            <a:xfrm rot="5400000" flipH="1" flipV="1">
                              <a:off x="29256166" y="6781392"/>
                              <a:ext cx="280492" cy="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106" name="Straight Arrow Connector 105"/>
                            <xdr:cNvCxnSpPr/>
                          </xdr:nvCxnSpPr>
                          <xdr:spPr>
                            <a:xfrm>
                              <a:off x="29396412" y="6921637"/>
                              <a:ext cx="301774" cy="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107" name="Arc 106"/>
                            <xdr:cNvSpPr/>
                          </xdr:nvSpPr>
                          <xdr:spPr>
                            <a:xfrm>
                              <a:off x="29281946" y="6786227"/>
                              <a:ext cx="249744" cy="328853"/>
                            </a:xfrm>
                            <a:prstGeom prst="arc">
                              <a:avLst>
                                <a:gd name="adj1" fmla="val 11163251"/>
                                <a:gd name="adj2" fmla="val 20688473"/>
                              </a:avLst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  <xdr:txBody>
                            <a:bodyPr rtlCol="1" anchor="ctr"/>
                            <a:lstStyle/>
                            <a:p>
                              <a:pPr algn="ctr"/>
                              <a:endParaRPr lang="fa-IR" sz="1100"/>
                            </a:p>
                          </xdr:txBody>
                        </xdr:sp>
                        <xdr:cxnSp macro="">
                          <xdr:nvCxnSpPr>
                            <xdr:cNvPr id="108" name="Straight Connector 107"/>
                            <xdr:cNvCxnSpPr/>
                          </xdr:nvCxnSpPr>
                          <xdr:spPr>
                            <a:xfrm rot="5400000" flipH="1">
                              <a:off x="29233219" y="6892254"/>
                              <a:ext cx="87049" cy="10406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109" name="Straight Connector 108"/>
                            <xdr:cNvCxnSpPr/>
                          </xdr:nvCxnSpPr>
                          <xdr:spPr>
                            <a:xfrm rot="5400000" flipH="1" flipV="1">
                              <a:off x="29273375" y="6890786"/>
                              <a:ext cx="48361" cy="52030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103" name="TextBox 102"/>
                          <xdr:cNvSpPr txBox="1"/>
                        </xdr:nvSpPr>
                        <xdr:spPr>
                          <a:xfrm>
                            <a:off x="28936822" y="4018546"/>
                            <a:ext cx="385022" cy="106393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ctr"/>
                            <a:r>
                              <a:rPr lang="en-US" sz="1100"/>
                              <a:t>50</a:t>
                            </a:r>
                            <a:endParaRPr lang="fa-IR" sz="1100"/>
                          </a:p>
                        </xdr:txBody>
                      </xdr:sp>
                      <xdr:sp macro="" textlink="">
                        <xdr:nvSpPr>
                          <xdr:cNvPr id="104" name="TextBox 103"/>
                          <xdr:cNvSpPr txBox="1"/>
                        </xdr:nvSpPr>
                        <xdr:spPr>
                          <a:xfrm>
                            <a:off x="28551800" y="4386087"/>
                            <a:ext cx="405834" cy="87049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r"/>
                            <a:r>
                              <a:rPr lang="en-US" sz="1100"/>
                              <a:t>51</a:t>
                            </a:r>
                            <a:endParaRPr lang="fa-IR" sz="1100"/>
                          </a:p>
                        </xdr:txBody>
                      </xdr:sp>
                    </xdr:grpSp>
                  </xdr:grpSp>
                  <xdr:grpSp>
                    <xdr:nvGrpSpPr>
                      <xdr:cNvPr id="15303" name="Group 109"/>
                      <xdr:cNvGrpSpPr>
                        <a:grpSpLocks/>
                      </xdr:cNvGrpSpPr>
                    </xdr:nvGrpSpPr>
                    <xdr:grpSpPr bwMode="auto">
                      <a:xfrm>
                        <a:off x="33627096" y="4050242"/>
                        <a:ext cx="1289237" cy="605437"/>
                        <a:chOff x="28553407" y="4014611"/>
                        <a:chExt cx="1288491" cy="605437"/>
                      </a:xfrm>
                    </xdr:grpSpPr>
                    <xdr:sp macro="" textlink="">
                      <xdr:nvSpPr>
                        <xdr:cNvPr id="111" name="TextBox 110"/>
                        <xdr:cNvSpPr txBox="1"/>
                      </xdr:nvSpPr>
                      <xdr:spPr>
                        <a:xfrm>
                          <a:off x="29420410" y="4382447"/>
                          <a:ext cx="426049" cy="1347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1" anchor="ctr"/>
                        <a:lstStyle/>
                        <a:p>
                          <a:pPr algn="l"/>
                          <a:r>
                            <a:rPr lang="en-US" sz="1100"/>
                            <a:t>37</a:t>
                          </a:r>
                          <a:endParaRPr lang="fa-IR" sz="1100"/>
                        </a:p>
                      </xdr:txBody>
                    </xdr:sp>
                    <xdr:grpSp>
                      <xdr:nvGrpSpPr>
                        <xdr:cNvPr id="15305" name="Group 76"/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28553407" y="4014611"/>
                          <a:ext cx="845166" cy="605437"/>
                          <a:chOff x="28553407" y="4014611"/>
                          <a:chExt cx="845166" cy="605437"/>
                        </a:xfrm>
                      </xdr:grpSpPr>
                      <xdr:grpSp>
                        <xdr:nvGrpSpPr>
                          <xdr:cNvPr id="15306" name="Group 58"/>
                          <xdr:cNvGrpSpPr>
                            <a:grpSpLocks/>
                          </xdr:cNvGrpSpPr>
                        </xdr:nvGrpSpPr>
                        <xdr:grpSpPr bwMode="auto">
                          <a:xfrm>
                            <a:off x="28989166" y="4141496"/>
                            <a:ext cx="409407" cy="478552"/>
                            <a:chOff x="29271854" y="6638358"/>
                            <a:chExt cx="409407" cy="478552"/>
                          </a:xfrm>
                        </xdr:grpSpPr>
                        <xdr:cxnSp macro="">
                          <xdr:nvCxnSpPr>
                            <xdr:cNvPr id="116" name="Straight Arrow Connector 115"/>
                            <xdr:cNvCxnSpPr/>
                          </xdr:nvCxnSpPr>
                          <xdr:spPr>
                            <a:xfrm rot="5400000" flipH="1" flipV="1">
                              <a:off x="29262236" y="6778284"/>
                              <a:ext cx="279021" cy="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117" name="Straight Arrow Connector 116"/>
                            <xdr:cNvCxnSpPr/>
                          </xdr:nvCxnSpPr>
                          <xdr:spPr>
                            <a:xfrm>
                              <a:off x="29401747" y="6917794"/>
                              <a:ext cx="280569" cy="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118" name="Arc 117"/>
                            <xdr:cNvSpPr/>
                          </xdr:nvSpPr>
                          <xdr:spPr>
                            <a:xfrm>
                              <a:off x="29287442" y="6783095"/>
                              <a:ext cx="239003" cy="336750"/>
                            </a:xfrm>
                            <a:prstGeom prst="arc">
                              <a:avLst>
                                <a:gd name="adj1" fmla="val 11163251"/>
                                <a:gd name="adj2" fmla="val 20688473"/>
                              </a:avLst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  <xdr:txBody>
                            <a:bodyPr rtlCol="1" anchor="ctr"/>
                            <a:lstStyle/>
                            <a:p>
                              <a:pPr algn="ctr"/>
                              <a:endParaRPr lang="fa-IR" sz="1100"/>
                            </a:p>
                          </xdr:txBody>
                        </xdr:sp>
                        <xdr:cxnSp macro="">
                          <xdr:nvCxnSpPr>
                            <xdr:cNvPr id="119" name="Straight Connector 118"/>
                            <xdr:cNvCxnSpPr/>
                          </xdr:nvCxnSpPr>
                          <xdr:spPr>
                            <a:xfrm rot="5400000" flipH="1">
                              <a:off x="29234139" y="6893355"/>
                              <a:ext cx="96214" cy="10391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120" name="Straight Connector 119"/>
                            <xdr:cNvCxnSpPr/>
                          </xdr:nvCxnSpPr>
                          <xdr:spPr>
                            <a:xfrm rot="5400000" flipH="1" flipV="1">
                              <a:off x="29274165" y="6891815"/>
                              <a:ext cx="57729" cy="51957"/>
                            </a:xfrm>
                            <a:prstGeom prst="line">
                              <a:avLst/>
                            </a:prstGeom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114" name="TextBox 113"/>
                          <xdr:cNvSpPr txBox="1"/>
                        </xdr:nvSpPr>
                        <xdr:spPr>
                          <a:xfrm>
                            <a:off x="28932013" y="4016833"/>
                            <a:ext cx="374092" cy="105836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ctr"/>
                            <a:r>
                              <a:rPr lang="en-US" sz="1100"/>
                              <a:t>38</a:t>
                            </a:r>
                            <a:endParaRPr lang="fa-IR" sz="1100"/>
                          </a:p>
                        </xdr:txBody>
                      </xdr:sp>
                      <xdr:sp macro="" textlink="">
                        <xdr:nvSpPr>
                          <xdr:cNvPr id="115" name="TextBox 114"/>
                          <xdr:cNvSpPr txBox="1"/>
                        </xdr:nvSpPr>
                        <xdr:spPr>
                          <a:xfrm>
                            <a:off x="28557921" y="4392068"/>
                            <a:ext cx="394875" cy="86593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1" anchor="ctr"/>
                          <a:lstStyle/>
                          <a:p>
                            <a:pPr algn="r"/>
                            <a:r>
                              <a:rPr lang="en-US" sz="1100"/>
                              <a:t>39</a:t>
                            </a:r>
                            <a:endParaRPr lang="fa-IR" sz="1100"/>
                          </a:p>
                        </xdr:txBody>
                      </xdr:sp>
                    </xdr:grpSp>
                  </xdr:grpSp>
                </xdr:grpSp>
                <xdr:grpSp>
                  <xdr:nvGrpSpPr>
                    <xdr:cNvPr id="15285" name="Group 143"/>
                    <xdr:cNvGrpSpPr>
                      <a:grpSpLocks/>
                    </xdr:cNvGrpSpPr>
                  </xdr:nvGrpSpPr>
                  <xdr:grpSpPr bwMode="auto">
                    <a:xfrm>
                      <a:off x="28434322" y="7477861"/>
                      <a:ext cx="1400613" cy="971531"/>
                      <a:chOff x="28416805" y="7461052"/>
                      <a:chExt cx="1399917" cy="971531"/>
                    </a:xfrm>
                  </xdr:grpSpPr>
                  <xdr:grpSp>
                    <xdr:nvGrpSpPr>
                      <xdr:cNvPr id="15288" name="Group 133"/>
                      <xdr:cNvGrpSpPr>
                        <a:grpSpLocks/>
                      </xdr:cNvGrpSpPr>
                    </xdr:nvGrpSpPr>
                    <xdr:grpSpPr bwMode="auto">
                      <a:xfrm>
                        <a:off x="28754342" y="7648809"/>
                        <a:ext cx="708350" cy="677164"/>
                        <a:chOff x="28788520" y="7608468"/>
                        <a:chExt cx="706669" cy="677164"/>
                      </a:xfrm>
                    </xdr:grpSpPr>
                    <xdr:cxnSp macro="">
                      <xdr:nvCxnSpPr>
                        <xdr:cNvPr id="123" name="Straight Arrow Connector 122"/>
                        <xdr:cNvCxnSpPr/>
                      </xdr:nvCxnSpPr>
                      <xdr:spPr>
                        <a:xfrm rot="5400000" flipH="1" flipV="1">
                          <a:off x="28763950" y="7850069"/>
                          <a:ext cx="453479" cy="0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25" name="Straight Arrow Connector 124"/>
                        <xdr:cNvCxnSpPr/>
                      </xdr:nvCxnSpPr>
                      <xdr:spPr>
                        <a:xfrm>
                          <a:off x="28980101" y="8076808"/>
                          <a:ext cx="518849" cy="0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126" name="Arc 125"/>
                        <xdr:cNvSpPr/>
                      </xdr:nvSpPr>
                      <xdr:spPr>
                        <a:xfrm>
                          <a:off x="28768326" y="7874190"/>
                          <a:ext cx="444727" cy="414885"/>
                        </a:xfrm>
                        <a:prstGeom prst="arc">
                          <a:avLst>
                            <a:gd name="adj1" fmla="val 10941646"/>
                            <a:gd name="adj2" fmla="val 0"/>
                          </a:avLst>
                        </a:prstGeom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rtlCol="1" anchor="ctr"/>
                        <a:lstStyle/>
                        <a:p>
                          <a:pPr algn="ctr"/>
                          <a:endParaRPr lang="fa-IR" sz="1100"/>
                        </a:p>
                      </xdr:txBody>
                    </xdr:sp>
                    <xdr:cxnSp macro="">
                      <xdr:nvCxnSpPr>
                        <xdr:cNvPr id="128" name="Straight Connector 127"/>
                        <xdr:cNvCxnSpPr/>
                      </xdr:nvCxnSpPr>
                      <xdr:spPr>
                        <a:xfrm rot="5400000" flipH="1" flipV="1">
                          <a:off x="28695962" y="8014094"/>
                          <a:ext cx="144727" cy="0"/>
                        </a:xfrm>
                        <a:prstGeom prst="line">
                          <a:avLst/>
                        </a:prstGeom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33" name="Straight Connector 132"/>
                        <xdr:cNvCxnSpPr/>
                      </xdr:nvCxnSpPr>
                      <xdr:spPr>
                        <a:xfrm rot="5400000" flipH="1" flipV="1">
                          <a:off x="28761969" y="8005978"/>
                          <a:ext cx="86836" cy="74121"/>
                        </a:xfrm>
                        <a:prstGeom prst="line">
                          <a:avLst/>
                        </a:prstGeom>
                        <a:effectLst/>
                      </xdr:spPr>
                      <xdr:style>
                        <a:lnRef idx="2">
                          <a:schemeClr val="dk1"/>
                        </a:lnRef>
                        <a:fillRef idx="0">
                          <a:schemeClr val="dk1"/>
                        </a:fillRef>
                        <a:effectRef idx="1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135" name="TextBox 134"/>
                      <xdr:cNvSpPr txBox="1"/>
                    </xdr:nvSpPr>
                    <xdr:spPr>
                      <a:xfrm>
                        <a:off x="29455848" y="8039961"/>
                        <a:ext cx="360874" cy="14472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ctr"/>
                      <a:lstStyle/>
                      <a:p>
                        <a:pPr algn="ctr"/>
                        <a:r>
                          <a:rPr lang="el-GR" sz="1100"/>
                          <a:t>Δ</a:t>
                        </a:r>
                        <a:r>
                          <a:rPr lang="en-US" sz="1100"/>
                          <a:t>x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136" name="TextBox 135"/>
                      <xdr:cNvSpPr txBox="1"/>
                    </xdr:nvSpPr>
                    <xdr:spPr>
                      <a:xfrm>
                        <a:off x="28797784" y="7461052"/>
                        <a:ext cx="371488" cy="14472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ctr"/>
                      <a:lstStyle/>
                      <a:p>
                        <a:pPr algn="ctr"/>
                        <a:r>
                          <a:rPr lang="el-GR" sz="1100"/>
                          <a:t>Δ</a:t>
                        </a:r>
                        <a:r>
                          <a:rPr lang="en-US" sz="1100"/>
                          <a:t>y</a:t>
                        </a:r>
                        <a:endParaRPr lang="fa-IR" sz="1100"/>
                      </a:p>
                    </xdr:txBody>
                  </xdr:sp>
                  <xdr:sp macro="" textlink="">
                    <xdr:nvSpPr>
                      <xdr:cNvPr id="143" name="TextBox 142"/>
                      <xdr:cNvSpPr txBox="1"/>
                    </xdr:nvSpPr>
                    <xdr:spPr>
                      <a:xfrm>
                        <a:off x="28416805" y="8169003"/>
                        <a:ext cx="499873" cy="26358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ctr"/>
                      <a:lstStyle/>
                      <a:p>
                        <a:pPr algn="ctr"/>
                        <a:r>
                          <a:rPr lang="el-GR" sz="1100"/>
                          <a:t>θ</a:t>
                        </a:r>
                        <a:r>
                          <a:rPr lang="en-US" sz="1100"/>
                          <a:t>z</a:t>
                        </a:r>
                        <a:endParaRPr lang="fa-IR" sz="1100"/>
                      </a:p>
                    </xdr:txBody>
                  </xdr:sp>
                </xdr:grpSp>
                <xdr:sp macro="" textlink="">
                  <xdr:nvSpPr>
                    <xdr:cNvPr id="147" name="Oval 146"/>
                    <xdr:cNvSpPr/>
                  </xdr:nvSpPr>
                  <xdr:spPr>
                    <a:xfrm>
                      <a:off x="29590690" y="7140163"/>
                      <a:ext cx="74334" cy="86836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148" name="Oval 147"/>
                    <xdr:cNvSpPr/>
                  </xdr:nvSpPr>
                  <xdr:spPr>
                    <a:xfrm>
                      <a:off x="33371129" y="7149811"/>
                      <a:ext cx="84954" cy="86836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6">
                        <a:shade val="50000"/>
                      </a:schemeClr>
                    </a:lnRef>
                    <a:fillRef idx="1">
                      <a:schemeClr val="accent6"/>
                    </a:fillRef>
                    <a:effectRef idx="0">
                      <a:schemeClr val="accent6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</xdr:grpSp>
              <xdr:grpSp>
                <xdr:nvGrpSpPr>
                  <xdr:cNvPr id="15274" name="Group 196"/>
                  <xdr:cNvGrpSpPr>
                    <a:grpSpLocks/>
                  </xdr:cNvGrpSpPr>
                </xdr:nvGrpSpPr>
                <xdr:grpSpPr bwMode="auto">
                  <a:xfrm>
                    <a:off x="29620369" y="7520778"/>
                    <a:ext cx="3834181" cy="145590"/>
                    <a:chOff x="29620369" y="7520778"/>
                    <a:chExt cx="3834181" cy="145590"/>
                  </a:xfrm>
                </xdr:grpSpPr>
                <xdr:cxnSp macro="">
                  <xdr:nvCxnSpPr>
                    <xdr:cNvPr id="153" name="Straight Arrow Connector 152"/>
                    <xdr:cNvCxnSpPr/>
                  </xdr:nvCxnSpPr>
                  <xdr:spPr>
                    <a:xfrm>
                      <a:off x="29630064" y="7588795"/>
                      <a:ext cx="2020113" cy="9600"/>
                    </a:xfrm>
                    <a:prstGeom prst="straightConnector1">
                      <a:avLst/>
                    </a:prstGeom>
                    <a:ln>
                      <a:headEnd type="triangle" w="med" len="med"/>
                      <a:tailEnd type="triangl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5276" name="Group 174"/>
                    <xdr:cNvGrpSpPr>
                      <a:grpSpLocks/>
                    </xdr:cNvGrpSpPr>
                  </xdr:nvGrpSpPr>
                  <xdr:grpSpPr bwMode="auto">
                    <a:xfrm>
                      <a:off x="29620369" y="7520778"/>
                      <a:ext cx="3834181" cy="145590"/>
                      <a:chOff x="29620369" y="7520778"/>
                      <a:chExt cx="3834181" cy="145590"/>
                    </a:xfrm>
                  </xdr:grpSpPr>
                  <xdr:grpSp>
                    <xdr:nvGrpSpPr>
                      <xdr:cNvPr id="15277" name="Group 170"/>
                      <xdr:cNvGrpSpPr>
                        <a:grpSpLocks/>
                      </xdr:cNvGrpSpPr>
                    </xdr:nvGrpSpPr>
                    <xdr:grpSpPr bwMode="auto">
                      <a:xfrm>
                        <a:off x="29620369" y="7520778"/>
                        <a:ext cx="3834181" cy="145590"/>
                        <a:chOff x="29620369" y="7520778"/>
                        <a:chExt cx="3834181" cy="145590"/>
                      </a:xfrm>
                    </xdr:grpSpPr>
                    <xdr:cxnSp macro="">
                      <xdr:nvCxnSpPr>
                        <xdr:cNvPr id="163" name="Straight Arrow Connector 162"/>
                        <xdr:cNvCxnSpPr/>
                      </xdr:nvCxnSpPr>
                      <xdr:spPr>
                        <a:xfrm>
                          <a:off x="31628912" y="7588795"/>
                          <a:ext cx="1828734" cy="0"/>
                        </a:xfrm>
                        <a:prstGeom prst="straightConnector1">
                          <a:avLst/>
                        </a:prstGeom>
                        <a:ln>
                          <a:headEnd type="triangle" w="med" len="med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66" name="Straight Connector 165"/>
                        <xdr:cNvCxnSpPr/>
                      </xdr:nvCxnSpPr>
                      <xdr:spPr>
                        <a:xfrm rot="5400000">
                          <a:off x="29547433" y="7593595"/>
                          <a:ext cx="143997" cy="0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68" name="Straight Connector 167"/>
                        <xdr:cNvCxnSpPr/>
                      </xdr:nvCxnSpPr>
                      <xdr:spPr>
                        <a:xfrm rot="5400000">
                          <a:off x="31567546" y="7593595"/>
                          <a:ext cx="143997" cy="0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70" name="Straight Connector 169"/>
                        <xdr:cNvCxnSpPr/>
                      </xdr:nvCxnSpPr>
                      <xdr:spPr>
                        <a:xfrm rot="5400000">
                          <a:off x="33385648" y="7593595"/>
                          <a:ext cx="143997" cy="0"/>
                        </a:xfrm>
                        <a:prstGeom prst="line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172" name="TextBox 171"/>
                      <xdr:cNvSpPr txBox="1"/>
                    </xdr:nvSpPr>
                    <xdr:spPr>
                      <a:xfrm>
                        <a:off x="30523166" y="7531196"/>
                        <a:ext cx="340230" cy="12479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ctr"/>
                      <a:lstStyle/>
                      <a:p>
                        <a:pPr algn="ctr"/>
                        <a:r>
                          <a:rPr lang="en-US" sz="1100" b="1"/>
                          <a:t>L1</a:t>
                        </a:r>
                        <a:endParaRPr lang="fa-IR" sz="1100" b="1"/>
                      </a:p>
                    </xdr:txBody>
                  </xdr:sp>
                  <xdr:sp macro="" textlink="">
                    <xdr:nvSpPr>
                      <xdr:cNvPr id="174" name="TextBox 173"/>
                      <xdr:cNvSpPr txBox="1"/>
                    </xdr:nvSpPr>
                    <xdr:spPr>
                      <a:xfrm>
                        <a:off x="32415693" y="7531196"/>
                        <a:ext cx="318965" cy="11519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1" anchor="ctr"/>
                      <a:lstStyle/>
                      <a:p>
                        <a:pPr algn="ctr"/>
                        <a:r>
                          <a:rPr lang="en-US" sz="1100" b="1"/>
                          <a:t>L2</a:t>
                        </a:r>
                        <a:endParaRPr lang="fa-IR" sz="1100" b="1"/>
                      </a:p>
                    </xdr:txBody>
                  </xdr:sp>
                </xdr:grpSp>
              </xdr:grpSp>
            </xdr:grpSp>
            <xdr:grpSp>
              <xdr:nvGrpSpPr>
                <xdr:cNvPr id="15252" name="Group 199"/>
                <xdr:cNvGrpSpPr>
                  <a:grpSpLocks/>
                </xdr:cNvGrpSpPr>
              </xdr:nvGrpSpPr>
              <xdr:grpSpPr bwMode="auto">
                <a:xfrm>
                  <a:off x="34587984" y="3382169"/>
                  <a:ext cx="381000" cy="3741741"/>
                  <a:chOff x="34811154" y="3341348"/>
                  <a:chExt cx="382360" cy="3717248"/>
                </a:xfrm>
              </xdr:grpSpPr>
              <xdr:cxnSp macro="">
                <xdr:nvCxnSpPr>
                  <xdr:cNvPr id="183" name="Straight Arrow Connector 182"/>
                  <xdr:cNvCxnSpPr/>
                </xdr:nvCxnSpPr>
                <xdr:spPr>
                  <a:xfrm rot="5400000">
                    <a:off x="34454010" y="3858409"/>
                    <a:ext cx="1030122" cy="0"/>
                  </a:xfrm>
                  <a:prstGeom prst="straightConnector1">
                    <a:avLst/>
                  </a:prstGeom>
                  <a:ln>
                    <a:headEnd type="triangle" w="med" len="med"/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85" name="Straight Arrow Connector 184"/>
                  <xdr:cNvCxnSpPr/>
                </xdr:nvCxnSpPr>
                <xdr:spPr>
                  <a:xfrm rot="16200000" flipH="1">
                    <a:off x="33640198" y="5702342"/>
                    <a:ext cx="2689763" cy="32016"/>
                  </a:xfrm>
                  <a:prstGeom prst="straightConnector1">
                    <a:avLst/>
                  </a:prstGeom>
                  <a:ln>
                    <a:headEnd type="triangle" w="med" len="med"/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88" name="Straight Connector 187"/>
                  <xdr:cNvCxnSpPr/>
                </xdr:nvCxnSpPr>
                <xdr:spPr>
                  <a:xfrm>
                    <a:off x="34905038" y="3352886"/>
                    <a:ext cx="149410" cy="0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0" name="Straight Connector 189"/>
                  <xdr:cNvCxnSpPr/>
                </xdr:nvCxnSpPr>
                <xdr:spPr>
                  <a:xfrm>
                    <a:off x="34905038" y="4373470"/>
                    <a:ext cx="138738" cy="0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2" name="Straight Connector 191"/>
                  <xdr:cNvCxnSpPr/>
                </xdr:nvCxnSpPr>
                <xdr:spPr>
                  <a:xfrm>
                    <a:off x="34926382" y="7063232"/>
                    <a:ext cx="149410" cy="0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93" name="TextBox 192"/>
                  <xdr:cNvSpPr txBox="1"/>
                </xdr:nvSpPr>
                <xdr:spPr>
                  <a:xfrm>
                    <a:off x="34819660" y="3724874"/>
                    <a:ext cx="373525" cy="238454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1" anchor="t"/>
                  <a:lstStyle/>
                  <a:p>
                    <a:r>
                      <a:rPr lang="en-US" sz="1100" b="1"/>
                      <a:t>h2</a:t>
                    </a:r>
                    <a:endParaRPr lang="fa-IR" sz="1100" b="1"/>
                  </a:p>
                </xdr:txBody>
              </xdr:sp>
              <xdr:sp macro="" textlink="">
                <xdr:nvSpPr>
                  <xdr:cNvPr id="194" name="TextBox 193"/>
                  <xdr:cNvSpPr txBox="1"/>
                </xdr:nvSpPr>
                <xdr:spPr>
                  <a:xfrm>
                    <a:off x="34808988" y="5508511"/>
                    <a:ext cx="384198" cy="247992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1" anchor="t"/>
                  <a:lstStyle/>
                  <a:p>
                    <a:r>
                      <a:rPr lang="en-US" sz="1100" b="1"/>
                      <a:t>h1</a:t>
                    </a:r>
                    <a:endParaRPr lang="fa-IR" sz="1100" b="1"/>
                  </a:p>
                </xdr:txBody>
              </xdr:sp>
            </xdr:grpSp>
            <xdr:grpSp>
              <xdr:nvGrpSpPr>
                <xdr:cNvPr id="15253" name="Group 221"/>
                <xdr:cNvGrpSpPr>
                  <a:grpSpLocks/>
                </xdr:cNvGrpSpPr>
              </xdr:nvGrpSpPr>
              <xdr:grpSpPr bwMode="auto">
                <a:xfrm>
                  <a:off x="33650117" y="7562854"/>
                  <a:ext cx="1336963" cy="664008"/>
                  <a:chOff x="33411102" y="7503102"/>
                  <a:chExt cx="1333500" cy="664008"/>
                </a:xfrm>
              </xdr:grpSpPr>
              <xdr:grpSp>
                <xdr:nvGrpSpPr>
                  <xdr:cNvPr id="15254" name="Group 204"/>
                  <xdr:cNvGrpSpPr>
                    <a:grpSpLocks/>
                  </xdr:cNvGrpSpPr>
                </xdr:nvGrpSpPr>
                <xdr:grpSpPr bwMode="auto">
                  <a:xfrm>
                    <a:off x="33753366" y="7691354"/>
                    <a:ext cx="988007" cy="468249"/>
                    <a:chOff x="33753366" y="7691354"/>
                    <a:chExt cx="988007" cy="468249"/>
                  </a:xfrm>
                </xdr:grpSpPr>
                <xdr:sp macro="" textlink="">
                  <xdr:nvSpPr>
                    <xdr:cNvPr id="202" name="Rectangle 201"/>
                    <xdr:cNvSpPr/>
                  </xdr:nvSpPr>
                  <xdr:spPr>
                    <a:xfrm>
                      <a:off x="33750415" y="7692890"/>
                      <a:ext cx="106066" cy="422444"/>
                    </a:xfrm>
                    <a:prstGeom prst="rect">
                      <a:avLst/>
                    </a:prstGeom>
                    <a:effectLst/>
                  </xdr:spPr>
                  <xdr:style>
                    <a:lnRef idx="1">
                      <a:schemeClr val="accent3"/>
                    </a:lnRef>
                    <a:fillRef idx="3">
                      <a:schemeClr val="accent3"/>
                    </a:fillRef>
                    <a:effectRef idx="2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203" name="Rectangle 202"/>
                    <xdr:cNvSpPr/>
                  </xdr:nvSpPr>
                  <xdr:spPr>
                    <a:xfrm>
                      <a:off x="33867088" y="7865708"/>
                      <a:ext cx="763678" cy="115212"/>
                    </a:xfrm>
                    <a:prstGeom prst="rect">
                      <a:avLst/>
                    </a:prstGeom>
                    <a:effectLst/>
                  </xdr:spPr>
                  <xdr:style>
                    <a:lnRef idx="1">
                      <a:schemeClr val="accent3"/>
                    </a:lnRef>
                    <a:fillRef idx="3">
                      <a:schemeClr val="accent3"/>
                    </a:fillRef>
                    <a:effectRef idx="2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  <xdr:sp macro="" textlink="">
                  <xdr:nvSpPr>
                    <xdr:cNvPr id="204" name="Rectangle 203"/>
                    <xdr:cNvSpPr/>
                  </xdr:nvSpPr>
                  <xdr:spPr>
                    <a:xfrm>
                      <a:off x="34641372" y="7692890"/>
                      <a:ext cx="116673" cy="422444"/>
                    </a:xfrm>
                    <a:prstGeom prst="rect">
                      <a:avLst/>
                    </a:prstGeom>
                    <a:effectLst/>
                  </xdr:spPr>
                  <xdr:style>
                    <a:lnRef idx="1">
                      <a:schemeClr val="accent3"/>
                    </a:lnRef>
                    <a:fillRef idx="3">
                      <a:schemeClr val="accent3"/>
                    </a:fillRef>
                    <a:effectRef idx="2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rtlCol="1" anchor="ctr"/>
                    <a:lstStyle/>
                    <a:p>
                      <a:pPr algn="ctr"/>
                      <a:endParaRPr lang="fa-IR" sz="1100"/>
                    </a:p>
                  </xdr:txBody>
                </xdr:sp>
              </xdr:grpSp>
              <xdr:cxnSp macro="">
                <xdr:nvCxnSpPr>
                  <xdr:cNvPr id="207" name="Straight Arrow Connector 206"/>
                  <xdr:cNvCxnSpPr/>
                </xdr:nvCxnSpPr>
                <xdr:spPr>
                  <a:xfrm rot="5400000">
                    <a:off x="33335883" y="7918515"/>
                    <a:ext cx="489652" cy="0"/>
                  </a:xfrm>
                  <a:prstGeom prst="straightConnector1">
                    <a:avLst/>
                  </a:prstGeom>
                  <a:ln>
                    <a:headEnd type="triangle" w="med" len="med"/>
                    <a:tailEnd type="triangle" w="med" len="med"/>
                  </a:ln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1" name="Straight Arrow Connector 210"/>
                  <xdr:cNvCxnSpPr/>
                </xdr:nvCxnSpPr>
                <xdr:spPr>
                  <a:xfrm>
                    <a:off x="33739809" y="7558476"/>
                    <a:ext cx="1007631" cy="0"/>
                  </a:xfrm>
                  <a:prstGeom prst="straightConnector1">
                    <a:avLst/>
                  </a:prstGeom>
                  <a:ln>
                    <a:headEnd type="triangle" w="med" len="med"/>
                    <a:tailEnd type="triangle" w="med" len="med"/>
                  </a:ln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3" name="Straight Connector 212"/>
                  <xdr:cNvCxnSpPr/>
                </xdr:nvCxnSpPr>
                <xdr:spPr>
                  <a:xfrm>
                    <a:off x="33527676" y="7673689"/>
                    <a:ext cx="11667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5" name="Straight Connector 214"/>
                  <xdr:cNvCxnSpPr/>
                </xdr:nvCxnSpPr>
                <xdr:spPr>
                  <a:xfrm>
                    <a:off x="33527676" y="8163340"/>
                    <a:ext cx="11667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7" name="Straight Connector 216"/>
                  <xdr:cNvCxnSpPr/>
                </xdr:nvCxnSpPr>
                <xdr:spPr>
                  <a:xfrm rot="5400000">
                    <a:off x="33692306" y="7557974"/>
                    <a:ext cx="105611" cy="10607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9" name="Straight Connector 218"/>
                  <xdr:cNvCxnSpPr/>
                </xdr:nvCxnSpPr>
                <xdr:spPr>
                  <a:xfrm rot="5400000">
                    <a:off x="34684027" y="7563277"/>
                    <a:ext cx="105611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0" name="TextBox 219"/>
                  <xdr:cNvSpPr txBox="1"/>
                </xdr:nvSpPr>
                <xdr:spPr>
                  <a:xfrm>
                    <a:off x="33411003" y="7846507"/>
                    <a:ext cx="307593" cy="144015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1" anchor="ctr"/>
                  <a:lstStyle/>
                  <a:p>
                    <a:pPr algn="r"/>
                    <a:r>
                      <a:rPr lang="en-US" sz="1100"/>
                      <a:t>bf</a:t>
                    </a:r>
                    <a:endParaRPr lang="fa-IR" sz="1100"/>
                  </a:p>
                </xdr:txBody>
              </xdr:sp>
              <xdr:sp macro="" textlink="">
                <xdr:nvSpPr>
                  <xdr:cNvPr id="221" name="TextBox 220"/>
                  <xdr:cNvSpPr txBox="1"/>
                </xdr:nvSpPr>
                <xdr:spPr>
                  <a:xfrm>
                    <a:off x="33930728" y="7500870"/>
                    <a:ext cx="572758" cy="124813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1" anchor="ctr"/>
                  <a:lstStyle/>
                  <a:p>
                    <a:pPr algn="ctr"/>
                    <a:r>
                      <a:rPr lang="en-US" sz="1100"/>
                      <a:t>tw+2tf</a:t>
                    </a:r>
                    <a:endParaRPr lang="fa-IR" sz="1100"/>
                  </a:p>
                </xdr:txBody>
              </xdr:sp>
            </xdr:grpSp>
          </xdr:grpSp>
          <xdr:cxnSp macro="">
            <xdr:nvCxnSpPr>
              <xdr:cNvPr id="129" name="Straight Connector 128"/>
              <xdr:cNvCxnSpPr/>
            </xdr:nvCxnSpPr>
            <xdr:spPr>
              <a:xfrm rot="5400000">
                <a:off x="20934477" y="5312963"/>
                <a:ext cx="466310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  <a:prstDash val="lg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1" name="Straight Connector 130"/>
              <xdr:cNvCxnSpPr>
                <a:stCxn id="220" idx="3"/>
              </xdr:cNvCxnSpPr>
            </xdr:nvCxnSpPr>
            <xdr:spPr>
              <a:xfrm>
                <a:off x="20667219" y="5298687"/>
                <a:ext cx="1128594" cy="0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  <a:prstDash val="lg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2" name="TextBox 131"/>
              <xdr:cNvSpPr txBox="1"/>
            </xdr:nvSpPr>
            <xdr:spPr>
              <a:xfrm>
                <a:off x="21082456" y="5584183"/>
                <a:ext cx="170354" cy="11419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1" anchor="ctr"/>
              <a:lstStyle/>
              <a:p>
                <a:pPr algn="ctr"/>
                <a:r>
                  <a:rPr lang="en-US" sz="1100" b="1"/>
                  <a:t>Z</a:t>
                </a:r>
                <a:endParaRPr lang="fa-IR" sz="1100" b="1"/>
              </a:p>
            </xdr:txBody>
          </xdr:sp>
          <xdr:sp macro="" textlink="">
            <xdr:nvSpPr>
              <xdr:cNvPr id="137" name="TextBox 136"/>
              <xdr:cNvSpPr txBox="1"/>
            </xdr:nvSpPr>
            <xdr:spPr>
              <a:xfrm>
                <a:off x="21795812" y="5232071"/>
                <a:ext cx="85177" cy="14274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1" anchor="ctr"/>
              <a:lstStyle/>
              <a:p>
                <a:pPr algn="ctr"/>
                <a:r>
                  <a:rPr lang="en-US" sz="1100" b="1"/>
                  <a:t>X</a:t>
                </a:r>
                <a:endParaRPr lang="fa-IR" sz="1100" b="1"/>
              </a:p>
            </xdr:txBody>
          </xdr:sp>
        </xdr:grpSp>
        <xdr:grpSp>
          <xdr:nvGrpSpPr>
            <xdr:cNvPr id="15234" name="Group 140"/>
            <xdr:cNvGrpSpPr>
              <a:grpSpLocks/>
            </xdr:cNvGrpSpPr>
          </xdr:nvGrpSpPr>
          <xdr:grpSpPr bwMode="auto">
            <a:xfrm>
              <a:off x="16250739" y="2342080"/>
              <a:ext cx="0" cy="1994655"/>
              <a:chOff x="16222630" y="2385916"/>
              <a:chExt cx="3687" cy="2013897"/>
            </a:xfrm>
          </xdr:grpSpPr>
          <xdr:cxnSp macro="">
            <xdr:nvCxnSpPr>
              <xdr:cNvPr id="130" name="Straight Connector 129"/>
              <xdr:cNvCxnSpPr/>
            </xdr:nvCxnSpPr>
            <xdr:spPr>
              <a:xfrm rot="5400000" flipH="1" flipV="1">
                <a:off x="13943817" y="3752850"/>
                <a:ext cx="668316" cy="0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140" name="Straight Connector 139"/>
              <xdr:cNvCxnSpPr/>
            </xdr:nvCxnSpPr>
            <xdr:spPr>
              <a:xfrm rot="5400000" flipH="1" flipV="1">
                <a:off x="13924722" y="2428875"/>
                <a:ext cx="706505" cy="0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5235" name="Group 293"/>
            <xdr:cNvGrpSpPr>
              <a:grpSpLocks/>
            </xdr:cNvGrpSpPr>
          </xdr:nvGrpSpPr>
          <xdr:grpSpPr bwMode="auto">
            <a:xfrm>
              <a:off x="20117147" y="2324452"/>
              <a:ext cx="3678" cy="2023616"/>
              <a:chOff x="-1401" y="2359627"/>
              <a:chExt cx="3678" cy="2043137"/>
            </a:xfrm>
          </xdr:grpSpPr>
          <xdr:cxnSp macro="">
            <xdr:nvCxnSpPr>
              <xdr:cNvPr id="295" name="Straight Connector 294"/>
              <xdr:cNvCxnSpPr/>
            </xdr:nvCxnSpPr>
            <xdr:spPr>
              <a:xfrm rot="5400000" flipH="1" flipV="1">
                <a:off x="-335559" y="4068606"/>
                <a:ext cx="668316" cy="0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296" name="Straight Connector 295"/>
              <xdr:cNvCxnSpPr/>
            </xdr:nvCxnSpPr>
            <xdr:spPr>
              <a:xfrm rot="5400000" flipH="1" flipV="1">
                <a:off x="-331881" y="2693785"/>
                <a:ext cx="668316" cy="0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5236" name="Group 309"/>
            <xdr:cNvGrpSpPr>
              <a:grpSpLocks/>
            </xdr:cNvGrpSpPr>
          </xdr:nvGrpSpPr>
          <xdr:grpSpPr bwMode="auto">
            <a:xfrm>
              <a:off x="16250364" y="967732"/>
              <a:ext cx="1491253" cy="765950"/>
              <a:chOff x="16264034" y="972706"/>
              <a:chExt cx="1492133" cy="769934"/>
            </a:xfrm>
          </xdr:grpSpPr>
          <xdr:cxnSp macro="">
            <xdr:nvCxnSpPr>
              <xdr:cNvPr id="299" name="Straight Connector 298"/>
              <xdr:cNvCxnSpPr/>
            </xdr:nvCxnSpPr>
            <xdr:spPr>
              <a:xfrm flipV="1">
                <a:off x="16264034" y="1476490"/>
                <a:ext cx="511900" cy="266150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301" name="Straight Connector 300"/>
              <xdr:cNvCxnSpPr/>
            </xdr:nvCxnSpPr>
            <xdr:spPr>
              <a:xfrm flipV="1">
                <a:off x="17255160" y="972706"/>
                <a:ext cx="501007" cy="256644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5237" name="Group 321"/>
            <xdr:cNvGrpSpPr>
              <a:grpSpLocks/>
            </xdr:cNvGrpSpPr>
          </xdr:nvGrpSpPr>
          <xdr:grpSpPr bwMode="auto">
            <a:xfrm>
              <a:off x="18702398" y="941719"/>
              <a:ext cx="1407306" cy="777757"/>
              <a:chOff x="18691750" y="950964"/>
              <a:chExt cx="1404614" cy="781033"/>
            </a:xfrm>
          </xdr:grpSpPr>
          <xdr:cxnSp macro="">
            <xdr:nvCxnSpPr>
              <xdr:cNvPr id="314" name="Straight Connector 313"/>
              <xdr:cNvCxnSpPr/>
            </xdr:nvCxnSpPr>
            <xdr:spPr>
              <a:xfrm>
                <a:off x="19634054" y="1465891"/>
                <a:ext cx="467163" cy="265887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Straight Connector 316"/>
              <xdr:cNvCxnSpPr/>
            </xdr:nvCxnSpPr>
            <xdr:spPr>
              <a:xfrm>
                <a:off x="18688864" y="953108"/>
                <a:ext cx="467163" cy="256391"/>
              </a:xfrm>
              <a:prstGeom prst="line">
                <a:avLst/>
              </a:prstGeom>
              <a:ln w="28575"/>
              <a:effectLst/>
            </xdr:spPr>
            <xdr:style>
              <a:lnRef idx="3">
                <a:schemeClr val="accent5"/>
              </a:lnRef>
              <a:fillRef idx="0">
                <a:schemeClr val="accent5"/>
              </a:fillRef>
              <a:effectRef idx="2">
                <a:schemeClr val="accent5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5216" name="Group 346"/>
          <xdr:cNvGrpSpPr>
            <a:grpSpLocks/>
          </xdr:cNvGrpSpPr>
        </xdr:nvGrpSpPr>
        <xdr:grpSpPr bwMode="auto">
          <a:xfrm>
            <a:off x="16328244" y="871144"/>
            <a:ext cx="3715347" cy="3284480"/>
            <a:chOff x="16328244" y="871144"/>
            <a:chExt cx="3715347" cy="3284480"/>
          </a:xfrm>
        </xdr:grpSpPr>
        <xdr:sp macro="" textlink="">
          <xdr:nvSpPr>
            <xdr:cNvPr id="325" name="Rectangle 324"/>
            <xdr:cNvSpPr/>
          </xdr:nvSpPr>
          <xdr:spPr>
            <a:xfrm>
              <a:off x="16328244" y="3975262"/>
              <a:ext cx="184681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1</a:t>
              </a:r>
              <a:endParaRPr lang="fa-IR" sz="1100"/>
            </a:p>
          </xdr:txBody>
        </xdr:sp>
        <xdr:sp macro="" textlink="">
          <xdr:nvSpPr>
            <xdr:cNvPr id="326" name="Rectangle 325"/>
            <xdr:cNvSpPr/>
          </xdr:nvSpPr>
          <xdr:spPr>
            <a:xfrm>
              <a:off x="16339108" y="3263308"/>
              <a:ext cx="173817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2</a:t>
              </a:r>
              <a:endParaRPr lang="fa-IR" sz="1100"/>
            </a:p>
          </xdr:txBody>
        </xdr:sp>
        <xdr:sp macro="" textlink="">
          <xdr:nvSpPr>
            <xdr:cNvPr id="327" name="Rectangle 326"/>
            <xdr:cNvSpPr/>
          </xdr:nvSpPr>
          <xdr:spPr>
            <a:xfrm>
              <a:off x="16339108" y="2598818"/>
              <a:ext cx="173817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3</a:t>
              </a:r>
              <a:endParaRPr lang="fa-IR" sz="1100"/>
            </a:p>
          </xdr:txBody>
        </xdr:sp>
        <xdr:sp macro="" textlink="">
          <xdr:nvSpPr>
            <xdr:cNvPr id="328" name="Rectangle 327"/>
            <xdr:cNvSpPr/>
          </xdr:nvSpPr>
          <xdr:spPr>
            <a:xfrm>
              <a:off x="16339108" y="1934328"/>
              <a:ext cx="173817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4</a:t>
              </a:r>
              <a:endParaRPr lang="fa-IR" sz="1100"/>
            </a:p>
          </xdr:txBody>
        </xdr:sp>
        <xdr:sp macro="" textlink="">
          <xdr:nvSpPr>
            <xdr:cNvPr id="329" name="Rectangle 328"/>
            <xdr:cNvSpPr/>
          </xdr:nvSpPr>
          <xdr:spPr>
            <a:xfrm>
              <a:off x="16534652" y="1659040"/>
              <a:ext cx="184681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5</a:t>
              </a:r>
              <a:endParaRPr lang="fa-IR" sz="1100"/>
            </a:p>
          </xdr:txBody>
        </xdr:sp>
        <xdr:sp macro="" textlink="">
          <xdr:nvSpPr>
            <xdr:cNvPr id="330" name="Rectangle 329"/>
            <xdr:cNvSpPr/>
          </xdr:nvSpPr>
          <xdr:spPr>
            <a:xfrm>
              <a:off x="16980059" y="1440707"/>
              <a:ext cx="184681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6</a:t>
              </a:r>
              <a:endParaRPr lang="fa-IR" sz="1100"/>
            </a:p>
          </xdr:txBody>
        </xdr:sp>
        <xdr:sp macro="" textlink="">
          <xdr:nvSpPr>
            <xdr:cNvPr id="331" name="Rectangle 330"/>
            <xdr:cNvSpPr/>
          </xdr:nvSpPr>
          <xdr:spPr>
            <a:xfrm>
              <a:off x="17479784" y="1165419"/>
              <a:ext cx="184681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7</a:t>
              </a:r>
              <a:endParaRPr lang="fa-IR" sz="1100"/>
            </a:p>
          </xdr:txBody>
        </xdr:sp>
        <xdr:sp macro="" textlink="">
          <xdr:nvSpPr>
            <xdr:cNvPr id="332" name="Rectangle 331"/>
            <xdr:cNvSpPr/>
          </xdr:nvSpPr>
          <xdr:spPr>
            <a:xfrm>
              <a:off x="17990373" y="880637"/>
              <a:ext cx="184681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8</a:t>
              </a:r>
              <a:endParaRPr lang="fa-IR" sz="1100"/>
            </a:p>
          </xdr:txBody>
        </xdr:sp>
        <xdr:sp macro="" textlink="">
          <xdr:nvSpPr>
            <xdr:cNvPr id="333" name="Rectangle 332"/>
            <xdr:cNvSpPr/>
          </xdr:nvSpPr>
          <xdr:spPr>
            <a:xfrm>
              <a:off x="18294553" y="871144"/>
              <a:ext cx="184681" cy="18036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100"/>
                <a:t>9</a:t>
              </a:r>
              <a:endParaRPr lang="fa-IR" sz="1100"/>
            </a:p>
          </xdr:txBody>
        </xdr:sp>
        <xdr:sp macro="" textlink="">
          <xdr:nvSpPr>
            <xdr:cNvPr id="334" name="Rectangle 333"/>
            <xdr:cNvSpPr/>
          </xdr:nvSpPr>
          <xdr:spPr>
            <a:xfrm>
              <a:off x="18576754" y="1108462"/>
              <a:ext cx="347887" cy="179563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800"/>
                <a:t>10</a:t>
              </a:r>
              <a:endParaRPr lang="fa-IR" sz="800"/>
            </a:p>
          </xdr:txBody>
        </xdr:sp>
        <xdr:sp macro="" textlink="">
          <xdr:nvSpPr>
            <xdr:cNvPr id="335" name="Rectangle 334"/>
            <xdr:cNvSpPr/>
          </xdr:nvSpPr>
          <xdr:spPr>
            <a:xfrm>
              <a:off x="19017690" y="1364766"/>
              <a:ext cx="363221" cy="17046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000"/>
                <a:t>11</a:t>
              </a:r>
              <a:endParaRPr lang="fa-IR" sz="1000"/>
            </a:p>
          </xdr:txBody>
        </xdr:sp>
        <xdr:sp macro="" textlink="">
          <xdr:nvSpPr>
            <xdr:cNvPr id="336" name="Rectangle 335"/>
            <xdr:cNvSpPr/>
          </xdr:nvSpPr>
          <xdr:spPr>
            <a:xfrm>
              <a:off x="19520512" y="1630562"/>
              <a:ext cx="349262" cy="193064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000"/>
                <a:t>12</a:t>
              </a:r>
              <a:endParaRPr lang="fa-IR" sz="800"/>
            </a:p>
          </xdr:txBody>
        </xdr:sp>
        <xdr:sp macro="" textlink="">
          <xdr:nvSpPr>
            <xdr:cNvPr id="341" name="Rectangle 340"/>
            <xdr:cNvSpPr/>
          </xdr:nvSpPr>
          <xdr:spPr>
            <a:xfrm>
              <a:off x="19659754" y="1962807"/>
              <a:ext cx="329519" cy="17668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000"/>
                <a:t>13</a:t>
              </a:r>
              <a:endParaRPr lang="fa-IR" sz="1000"/>
            </a:p>
          </xdr:txBody>
        </xdr:sp>
        <xdr:sp macro="" textlink="">
          <xdr:nvSpPr>
            <xdr:cNvPr id="342" name="Rectangle 341"/>
            <xdr:cNvSpPr/>
          </xdr:nvSpPr>
          <xdr:spPr>
            <a:xfrm>
              <a:off x="19659755" y="2579833"/>
              <a:ext cx="372973" cy="184528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000"/>
                <a:t>14</a:t>
              </a:r>
              <a:endParaRPr lang="fa-IR" sz="1000"/>
            </a:p>
          </xdr:txBody>
        </xdr:sp>
        <xdr:sp macro="" textlink="">
          <xdr:nvSpPr>
            <xdr:cNvPr id="343" name="Rectangle 342"/>
            <xdr:cNvSpPr/>
          </xdr:nvSpPr>
          <xdr:spPr>
            <a:xfrm>
              <a:off x="19713904" y="3291786"/>
              <a:ext cx="329686" cy="179842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000"/>
                <a:t>15</a:t>
              </a:r>
              <a:endParaRPr lang="fa-IR" sz="1000"/>
            </a:p>
          </xdr:txBody>
        </xdr:sp>
        <xdr:sp macro="" textlink="">
          <xdr:nvSpPr>
            <xdr:cNvPr id="344" name="Rectangle 343"/>
            <xdr:cNvSpPr/>
          </xdr:nvSpPr>
          <xdr:spPr>
            <a:xfrm>
              <a:off x="19698434" y="3956276"/>
              <a:ext cx="345157" cy="174553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1" anchor="ctr"/>
            <a:lstStyle/>
            <a:p>
              <a:pPr algn="ctr"/>
              <a:r>
                <a:rPr lang="en-US" sz="1000"/>
                <a:t>16</a:t>
              </a:r>
              <a:endParaRPr lang="fa-IR" sz="10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workbookViewId="0">
      <selection activeCell="B1" sqref="B1"/>
    </sheetView>
  </sheetViews>
  <sheetFormatPr defaultRowHeight="15" x14ac:dyDescent="0.25"/>
  <cols>
    <col min="1" max="1" width="12.42578125" customWidth="1"/>
    <col min="2" max="2" width="10.42578125" customWidth="1"/>
  </cols>
  <sheetData>
    <row r="1" spans="1:9" x14ac:dyDescent="0.25">
      <c r="A1" t="s">
        <v>0</v>
      </c>
      <c r="B1" s="2">
        <v>60</v>
      </c>
      <c r="D1" t="s">
        <v>4</v>
      </c>
      <c r="E1">
        <v>20</v>
      </c>
    </row>
    <row r="2" spans="1:9" x14ac:dyDescent="0.25">
      <c r="A2" t="s">
        <v>1</v>
      </c>
      <c r="B2" s="2">
        <v>800</v>
      </c>
      <c r="D2" t="s">
        <v>5</v>
      </c>
      <c r="E2">
        <v>80</v>
      </c>
    </row>
    <row r="3" spans="1:9" x14ac:dyDescent="0.25">
      <c r="A3" t="s">
        <v>2</v>
      </c>
      <c r="B3" s="2">
        <v>60</v>
      </c>
      <c r="D3" t="s">
        <v>7</v>
      </c>
      <c r="E3">
        <f>B2*E1*E2</f>
        <v>1280000</v>
      </c>
    </row>
    <row r="4" spans="1:9" x14ac:dyDescent="0.25">
      <c r="A4" t="s">
        <v>3</v>
      </c>
      <c r="B4" s="3">
        <v>100000</v>
      </c>
    </row>
    <row r="5" spans="1:9" x14ac:dyDescent="0.25">
      <c r="A5" t="s">
        <v>6</v>
      </c>
      <c r="B5" s="2">
        <v>8</v>
      </c>
    </row>
    <row r="6" spans="1:9" x14ac:dyDescent="0.25">
      <c r="A6">
        <f>(E1*(E2^2)-(((6/8)*B1*(B2^2))/B3))</f>
        <v>-352000</v>
      </c>
    </row>
    <row r="7" spans="1:9" x14ac:dyDescent="0.25">
      <c r="A7">
        <f>(E1-E2)-((0.75*B1*B2)/B5)</f>
        <v>-4560</v>
      </c>
    </row>
    <row r="8" spans="1:9" x14ac:dyDescent="0.25">
      <c r="A8">
        <f>(E1*(E2^3)-((360*60*B1*(B2^3))/(384*B4)))</f>
        <v>-7040000</v>
      </c>
    </row>
    <row r="9" spans="1:9" x14ac:dyDescent="0.25">
      <c r="A9">
        <f>E2-12*E1</f>
        <v>-160</v>
      </c>
    </row>
    <row r="10" spans="1:9" x14ac:dyDescent="0.25">
      <c r="A10">
        <f>B2/20</f>
        <v>40</v>
      </c>
    </row>
    <row r="11" spans="1:9" x14ac:dyDescent="0.25">
      <c r="A11" t="s">
        <v>8</v>
      </c>
      <c r="B11" s="2">
        <v>2</v>
      </c>
      <c r="D11" s="1" t="s">
        <v>12</v>
      </c>
      <c r="E11" s="1"/>
      <c r="F11" s="1"/>
      <c r="G11" s="1"/>
      <c r="H11" s="1"/>
      <c r="I11" s="1"/>
    </row>
    <row r="12" spans="1:9" x14ac:dyDescent="0.25">
      <c r="A12" t="s">
        <v>9</v>
      </c>
      <c r="B12" s="2">
        <v>20</v>
      </c>
    </row>
    <row r="13" spans="1:9" x14ac:dyDescent="0.25">
      <c r="A13" t="s">
        <v>10</v>
      </c>
      <c r="B13" s="2">
        <v>20</v>
      </c>
    </row>
    <row r="14" spans="1:9" x14ac:dyDescent="0.25">
      <c r="A14" t="s">
        <v>11</v>
      </c>
      <c r="B14" s="2">
        <v>80</v>
      </c>
    </row>
  </sheetData>
  <customSheetViews>
    <customSheetView guid="{5E047470-7D77-426D-B94B-7966AE8B6508}">
      <selection activeCell="E3" sqref="E3"/>
      <pageMargins left="0.7" right="0.7" top="0.75" bottom="0.75" header="0.3" footer="0.3"/>
    </customSheetView>
  </customSheetViews>
  <mergeCells count="1">
    <mergeCell ref="D11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5"/>
  <sheetViews>
    <sheetView workbookViewId="0">
      <selection activeCell="B14" sqref="B14"/>
    </sheetView>
  </sheetViews>
  <sheetFormatPr defaultRowHeight="15" x14ac:dyDescent="0.25"/>
  <cols>
    <col min="3" max="3" width="14.42578125" customWidth="1"/>
    <col min="4" max="4" width="11.140625" bestFit="1" customWidth="1"/>
  </cols>
  <sheetData>
    <row r="1" spans="1:5" x14ac:dyDescent="0.25">
      <c r="A1" t="s">
        <v>0</v>
      </c>
      <c r="B1" s="6">
        <v>50000</v>
      </c>
      <c r="D1" t="s">
        <v>5</v>
      </c>
      <c r="E1">
        <v>282.84271248428934</v>
      </c>
    </row>
    <row r="2" spans="1:5" x14ac:dyDescent="0.25">
      <c r="A2" t="s">
        <v>14</v>
      </c>
      <c r="B2" s="6">
        <v>2400</v>
      </c>
      <c r="D2" t="s">
        <v>13</v>
      </c>
      <c r="E2">
        <v>30</v>
      </c>
    </row>
    <row r="3" spans="1:5" x14ac:dyDescent="0.25">
      <c r="A3" t="s">
        <v>3</v>
      </c>
      <c r="B3" s="7">
        <v>2100000</v>
      </c>
    </row>
    <row r="4" spans="1:5" x14ac:dyDescent="0.25">
      <c r="A4" t="s">
        <v>4</v>
      </c>
      <c r="B4" s="6">
        <v>400</v>
      </c>
    </row>
    <row r="5" spans="1:5" x14ac:dyDescent="0.25">
      <c r="A5" t="s">
        <v>16</v>
      </c>
      <c r="B5" s="6">
        <v>1</v>
      </c>
    </row>
    <row r="6" spans="1:5" x14ac:dyDescent="0.25">
      <c r="A6" t="s">
        <v>17</v>
      </c>
      <c r="B6" s="6">
        <v>30</v>
      </c>
    </row>
    <row r="7" spans="1:5" x14ac:dyDescent="0.25">
      <c r="A7" t="s">
        <v>10</v>
      </c>
      <c r="B7" s="6">
        <v>80</v>
      </c>
    </row>
    <row r="8" spans="1:5" x14ac:dyDescent="0.25">
      <c r="A8" t="s">
        <v>11</v>
      </c>
      <c r="B8" s="6">
        <v>1600</v>
      </c>
    </row>
    <row r="9" spans="1:5" x14ac:dyDescent="0.25">
      <c r="A9" t="s">
        <v>20</v>
      </c>
      <c r="B9" s="10">
        <f>0.6*B2</f>
        <v>1440</v>
      </c>
    </row>
    <row r="10" spans="1:5" x14ac:dyDescent="0.25">
      <c r="A10" t="s">
        <v>21</v>
      </c>
      <c r="B10" s="10">
        <f>((0.5*B1)*SQRT((0.5*B4)^2+(E1)^2))/E1</f>
        <v>30618.621784440773</v>
      </c>
    </row>
    <row r="11" spans="1:5" x14ac:dyDescent="0.25">
      <c r="A11" t="s">
        <v>22</v>
      </c>
      <c r="B11" s="10">
        <f>B10/B9</f>
        <v>21.262931794750536</v>
      </c>
    </row>
    <row r="12" spans="1:5" x14ac:dyDescent="0.25">
      <c r="A12" t="s">
        <v>18</v>
      </c>
      <c r="B12" s="8">
        <f>2*((B3*E2*E1)/((0.5*B4)^2+(E1)^2))</f>
        <v>296984.84809496533</v>
      </c>
    </row>
    <row r="14" spans="1:5" x14ac:dyDescent="0.25">
      <c r="A14" t="s">
        <v>15</v>
      </c>
      <c r="B14" s="9">
        <f>(((B1)^2)*(((0.5*B4)^2)+((E1)^2))*SQRT((0.5*B4)^2+(E1)^2))/(4*((E1)^2)*E2*B3)</f>
        <v>5154.9131177645149</v>
      </c>
      <c r="C14" s="5" t="s">
        <v>19</v>
      </c>
      <c r="D14">
        <f>B14/(0.5*B1)</f>
        <v>0.20619652471058059</v>
      </c>
    </row>
    <row r="15" spans="1:5" x14ac:dyDescent="0.25">
      <c r="C15" t="s">
        <v>23</v>
      </c>
      <c r="D15">
        <f>(B9*E2)/(2*((B3*E2*E1)/((B4)^2+(E1)^2)))</f>
        <v>0.29092393282772117</v>
      </c>
    </row>
  </sheetData>
  <dataConsolidate link="1"/>
  <customSheetViews>
    <customSheetView guid="{5E047470-7D77-426D-B94B-7966AE8B6508}">
      <selection activeCell="I4" sqref="I4"/>
      <pageMargins left="0.7" right="0.7" top="0.75" bottom="0.75" header="0.3" footer="0.3"/>
    </customSheetView>
  </customSheetView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D66"/>
  <sheetViews>
    <sheetView workbookViewId="0">
      <selection activeCell="C5" sqref="C5:C10"/>
    </sheetView>
  </sheetViews>
  <sheetFormatPr defaultRowHeight="15" x14ac:dyDescent="0.25"/>
  <cols>
    <col min="3" max="3" width="10.85546875" customWidth="1"/>
    <col min="6" max="6" width="13" bestFit="1" customWidth="1"/>
    <col min="14" max="14" width="9.5703125" customWidth="1"/>
    <col min="23" max="23" width="9.42578125" bestFit="1" customWidth="1"/>
  </cols>
  <sheetData>
    <row r="1" spans="2:11" ht="14.25" customHeight="1" x14ac:dyDescent="0.25">
      <c r="C1" s="343" t="s">
        <v>146</v>
      </c>
      <c r="D1" s="343"/>
      <c r="E1" s="343"/>
      <c r="F1" s="343"/>
      <c r="G1" s="343"/>
      <c r="H1" s="343"/>
      <c r="I1" s="343"/>
      <c r="J1" s="343"/>
      <c r="K1" s="343"/>
    </row>
    <row r="2" spans="2:11" ht="14.25" customHeight="1" x14ac:dyDescent="0.25">
      <c r="C2" s="343"/>
      <c r="D2" s="343"/>
      <c r="E2" s="343"/>
      <c r="F2" s="343"/>
      <c r="G2" s="343"/>
      <c r="H2" s="343"/>
      <c r="I2" s="343"/>
      <c r="J2" s="343"/>
      <c r="K2" s="343"/>
    </row>
    <row r="4" spans="2:11" ht="15.75" thickBot="1" x14ac:dyDescent="0.3"/>
    <row r="5" spans="2:11" ht="15.75" thickBot="1" x14ac:dyDescent="0.3">
      <c r="B5" s="156" t="s">
        <v>109</v>
      </c>
      <c r="C5" s="140">
        <v>74.478197898796481</v>
      </c>
      <c r="D5" s="139">
        <v>0.5</v>
      </c>
      <c r="E5" s="139">
        <v>100</v>
      </c>
    </row>
    <row r="6" spans="2:11" ht="15.75" thickBot="1" x14ac:dyDescent="0.3">
      <c r="B6" s="156" t="s">
        <v>110</v>
      </c>
      <c r="C6" s="140">
        <v>100</v>
      </c>
      <c r="D6" s="139">
        <v>0.5</v>
      </c>
      <c r="E6" s="139">
        <v>100</v>
      </c>
    </row>
    <row r="7" spans="2:11" ht="15.75" thickBot="1" x14ac:dyDescent="0.3">
      <c r="B7" s="156" t="s">
        <v>111</v>
      </c>
      <c r="C7" s="140">
        <v>100</v>
      </c>
      <c r="D7" s="139">
        <v>0.5</v>
      </c>
      <c r="E7" s="139">
        <v>100</v>
      </c>
    </row>
    <row r="8" spans="2:11" ht="15.75" thickBot="1" x14ac:dyDescent="0.3">
      <c r="B8" s="157" t="s">
        <v>143</v>
      </c>
      <c r="C8" s="140">
        <v>-20.424220865211133</v>
      </c>
      <c r="D8" s="59"/>
      <c r="E8" s="59"/>
    </row>
    <row r="9" spans="2:11" ht="15.75" thickBot="1" x14ac:dyDescent="0.3">
      <c r="B9" s="157" t="s">
        <v>144</v>
      </c>
      <c r="C9" s="140">
        <v>-10.212110441932859</v>
      </c>
      <c r="D9" s="59"/>
      <c r="E9" s="59"/>
    </row>
    <row r="10" spans="2:11" ht="15.75" thickBot="1" x14ac:dyDescent="0.3">
      <c r="B10" s="157" t="s">
        <v>145</v>
      </c>
      <c r="C10" s="140">
        <v>36.516417660995451</v>
      </c>
      <c r="D10" s="59"/>
      <c r="E10" s="59"/>
    </row>
    <row r="13" spans="2:11" ht="15.75" thickBot="1" x14ac:dyDescent="0.3"/>
    <row r="14" spans="2:11" ht="15.75" thickBot="1" x14ac:dyDescent="0.3">
      <c r="B14" s="158" t="s">
        <v>1</v>
      </c>
      <c r="C14" s="139">
        <v>4</v>
      </c>
    </row>
    <row r="15" spans="2:11" ht="15.75" thickBot="1" x14ac:dyDescent="0.3">
      <c r="B15" s="158" t="s">
        <v>5</v>
      </c>
      <c r="C15" s="139">
        <v>3</v>
      </c>
    </row>
    <row r="18" spans="1:30" ht="15.75" thickBot="1" x14ac:dyDescent="0.3"/>
    <row r="19" spans="1:30" x14ac:dyDescent="0.25">
      <c r="B19" s="344" t="s">
        <v>112</v>
      </c>
      <c r="C19" s="331" t="s">
        <v>113</v>
      </c>
      <c r="D19" s="346" t="s">
        <v>114</v>
      </c>
      <c r="E19" s="347"/>
      <c r="F19" s="346" t="s">
        <v>115</v>
      </c>
      <c r="G19" s="347"/>
      <c r="H19" s="331" t="s">
        <v>47</v>
      </c>
      <c r="I19" s="338" t="s">
        <v>116</v>
      </c>
      <c r="J19" s="331" t="s">
        <v>117</v>
      </c>
      <c r="K19" s="333" t="s">
        <v>118</v>
      </c>
      <c r="L19" s="341" t="s">
        <v>119</v>
      </c>
      <c r="M19" s="151" t="s">
        <v>120</v>
      </c>
      <c r="N19" s="152">
        <v>1.667</v>
      </c>
      <c r="O19" s="335" t="s">
        <v>121</v>
      </c>
      <c r="Q19" s="143" t="s">
        <v>134</v>
      </c>
      <c r="R19" s="144" t="s">
        <v>135</v>
      </c>
      <c r="S19" s="144" t="s">
        <v>136</v>
      </c>
      <c r="T19" s="145" t="s">
        <v>137</v>
      </c>
      <c r="U19" s="146" t="s">
        <v>138</v>
      </c>
      <c r="V19" s="147" t="s">
        <v>139</v>
      </c>
      <c r="W19" s="148" t="s">
        <v>140</v>
      </c>
    </row>
    <row r="20" spans="1:30" x14ac:dyDescent="0.25">
      <c r="B20" s="345"/>
      <c r="C20" s="332"/>
      <c r="D20" s="153" t="s">
        <v>122</v>
      </c>
      <c r="E20" s="153" t="s">
        <v>123</v>
      </c>
      <c r="F20" s="153" t="s">
        <v>122</v>
      </c>
      <c r="G20" s="153" t="s">
        <v>123</v>
      </c>
      <c r="H20" s="332"/>
      <c r="I20" s="339"/>
      <c r="J20" s="332"/>
      <c r="K20" s="334"/>
      <c r="L20" s="342"/>
      <c r="M20" s="154" t="str">
        <f>O18&amp;J19</f>
        <v>Fy</v>
      </c>
      <c r="N20" s="155"/>
      <c r="O20" s="336"/>
      <c r="Q20" s="123">
        <v>1</v>
      </c>
      <c r="R20" s="85">
        <v>0</v>
      </c>
      <c r="S20" s="85">
        <v>0</v>
      </c>
      <c r="T20" s="124">
        <v>0</v>
      </c>
      <c r="U20" s="125">
        <v>0</v>
      </c>
      <c r="V20" s="126">
        <v>0</v>
      </c>
      <c r="W20" s="89">
        <v>0</v>
      </c>
    </row>
    <row r="21" spans="1:30" x14ac:dyDescent="0.25">
      <c r="B21" s="149">
        <v>1</v>
      </c>
      <c r="C21" s="111">
        <f>C14</f>
        <v>4</v>
      </c>
      <c r="D21" s="85">
        <v>0</v>
      </c>
      <c r="E21" s="85">
        <v>0</v>
      </c>
      <c r="F21" s="85">
        <f>C21</f>
        <v>4</v>
      </c>
      <c r="G21" s="85">
        <v>0</v>
      </c>
      <c r="H21" s="161">
        <f>C5</f>
        <v>74.478197898796481</v>
      </c>
      <c r="I21" s="87">
        <v>2100000</v>
      </c>
      <c r="J21" s="86">
        <v>2400</v>
      </c>
      <c r="K21" s="85">
        <f>(H28*M27+I28*M28+J28*M29+K28*M30)/C5</f>
        <v>-107227.15954235845</v>
      </c>
      <c r="L21" s="88">
        <f>ABS(K21)/C5</f>
        <v>1439.7120575884821</v>
      </c>
      <c r="M21" s="85">
        <f>J21*(1/N19)</f>
        <v>1439.7120575884821</v>
      </c>
      <c r="N21" s="88" t="str">
        <f>IF(L21&gt;M21,"over stress","")</f>
        <v/>
      </c>
      <c r="O21" s="89">
        <f>ROUND(L21/M21,2)</f>
        <v>1</v>
      </c>
      <c r="Q21" s="123">
        <v>2</v>
      </c>
      <c r="R21" s="85">
        <f>C21</f>
        <v>4</v>
      </c>
      <c r="S21" s="85">
        <v>0</v>
      </c>
      <c r="T21" s="124">
        <v>0</v>
      </c>
      <c r="U21" s="125">
        <v>0</v>
      </c>
      <c r="V21" s="127">
        <f>C8</f>
        <v>-20.424220865211133</v>
      </c>
      <c r="W21" s="142">
        <v>0</v>
      </c>
    </row>
    <row r="22" spans="1:30" ht="15.75" thickBot="1" x14ac:dyDescent="0.3">
      <c r="B22" s="149">
        <v>2</v>
      </c>
      <c r="C22" s="90">
        <f>SQRT((0.5*C14)^2+(C15)^2)</f>
        <v>3.6055512754639891</v>
      </c>
      <c r="D22" s="85">
        <f>C21</f>
        <v>4</v>
      </c>
      <c r="E22" s="85">
        <v>0</v>
      </c>
      <c r="F22" s="85">
        <f>C21*0.5</f>
        <v>2</v>
      </c>
      <c r="G22" s="85">
        <f>C15</f>
        <v>3</v>
      </c>
      <c r="H22" s="161">
        <f>C6</f>
        <v>100</v>
      </c>
      <c r="I22" s="87">
        <v>2100000</v>
      </c>
      <c r="J22" s="86">
        <v>2400</v>
      </c>
      <c r="K22" s="85">
        <f>(H34*M33+I34*M34+J34*M35+K34*M36)/C6</f>
        <v>143971.20575884814</v>
      </c>
      <c r="L22" s="88">
        <f>ABS(K22)/C6</f>
        <v>1439.7120575884815</v>
      </c>
      <c r="M22" s="85">
        <f>J22*(1/N19)</f>
        <v>1439.7120575884821</v>
      </c>
      <c r="N22" s="88" t="str">
        <f>IF(L22&gt;M22,"over stress","")</f>
        <v/>
      </c>
      <c r="O22" s="89">
        <f>ROUND(L22/M22,2)</f>
        <v>1</v>
      </c>
      <c r="Q22" s="128">
        <v>3</v>
      </c>
      <c r="R22" s="129">
        <f>R21/0.5</f>
        <v>8</v>
      </c>
      <c r="S22" s="129">
        <f>C15</f>
        <v>3</v>
      </c>
      <c r="T22" s="130">
        <v>0</v>
      </c>
      <c r="U22" s="131">
        <v>-100</v>
      </c>
      <c r="V22" s="132">
        <f>C9</f>
        <v>-10.212110441932859</v>
      </c>
      <c r="W22" s="133">
        <f>C10</f>
        <v>36.516417660995451</v>
      </c>
    </row>
    <row r="23" spans="1:30" ht="15.75" thickBot="1" x14ac:dyDescent="0.3">
      <c r="B23" s="150">
        <v>3</v>
      </c>
      <c r="C23" s="134">
        <f>C22</f>
        <v>3.6055512754639891</v>
      </c>
      <c r="D23" s="129">
        <f>F22</f>
        <v>2</v>
      </c>
      <c r="E23" s="129">
        <f>C15</f>
        <v>3</v>
      </c>
      <c r="F23" s="129">
        <v>0</v>
      </c>
      <c r="G23" s="129">
        <v>0</v>
      </c>
      <c r="H23" s="162">
        <f>C7</f>
        <v>100</v>
      </c>
      <c r="I23" s="136">
        <v>2100000</v>
      </c>
      <c r="J23" s="135">
        <v>2400</v>
      </c>
      <c r="K23" s="129">
        <f>(H40*M39+I40*M40+J40*M41+K40*M42)/C7</f>
        <v>143971.20569857949</v>
      </c>
      <c r="L23" s="137">
        <f>ABS(K23)/C7</f>
        <v>1439.712056985795</v>
      </c>
      <c r="M23" s="129">
        <f>J23*(1/N19)</f>
        <v>1439.7120575884821</v>
      </c>
      <c r="N23" s="141" t="str">
        <f>IF(L23&gt;M23,"over stress","")</f>
        <v/>
      </c>
      <c r="O23" s="138">
        <f>ROUND(L23/M23,2)</f>
        <v>1</v>
      </c>
    </row>
    <row r="24" spans="1:30" x14ac:dyDescent="0.25">
      <c r="B24" s="117"/>
      <c r="C24" s="118"/>
      <c r="D24" s="115"/>
      <c r="E24" s="115"/>
      <c r="F24" s="115"/>
      <c r="G24" s="115"/>
      <c r="H24" s="119"/>
      <c r="I24" s="119"/>
      <c r="J24" s="119"/>
      <c r="K24" s="115"/>
      <c r="L24" s="115"/>
      <c r="M24" s="115"/>
      <c r="N24" s="115"/>
      <c r="O24" s="115"/>
    </row>
    <row r="25" spans="1:30" ht="15.75" thickBot="1" x14ac:dyDescent="0.3">
      <c r="A25">
        <v>1</v>
      </c>
      <c r="B25" s="96">
        <v>2</v>
      </c>
      <c r="C25">
        <v>3</v>
      </c>
      <c r="D25">
        <v>4</v>
      </c>
      <c r="F25" s="59"/>
    </row>
    <row r="26" spans="1:30" x14ac:dyDescent="0.25">
      <c r="A26" s="91" t="s">
        <v>124</v>
      </c>
      <c r="B26" s="92">
        <f>(F21-D21)/C21</f>
        <v>1</v>
      </c>
      <c r="C26" s="93" t="s">
        <v>125</v>
      </c>
      <c r="D26" s="92">
        <f>(G21-E21)/C21</f>
        <v>0</v>
      </c>
      <c r="E26" s="94">
        <f>(C5*I21)/(C21*100)</f>
        <v>391010.53896868153</v>
      </c>
      <c r="F26" s="95"/>
      <c r="G26" s="95"/>
      <c r="H26" s="95"/>
      <c r="I26" s="95"/>
      <c r="J26" s="95"/>
      <c r="K26" s="95"/>
      <c r="L26" s="95"/>
      <c r="M26" s="95"/>
      <c r="N26" s="96"/>
      <c r="O26" s="95"/>
    </row>
    <row r="27" spans="1:30" x14ac:dyDescent="0.25">
      <c r="A27" s="97">
        <f>E26*(B26^2)</f>
        <v>391010.53896868153</v>
      </c>
      <c r="B27" s="98">
        <f>E26*D26*B26</f>
        <v>0</v>
      </c>
      <c r="C27" s="98">
        <f>-A27</f>
        <v>-391010.53896868153</v>
      </c>
      <c r="D27" s="98">
        <f>-B26*D26*E26</f>
        <v>0</v>
      </c>
      <c r="E27" s="99"/>
      <c r="F27" s="100">
        <v>1</v>
      </c>
      <c r="G27" s="95"/>
      <c r="H27" s="101">
        <v>1</v>
      </c>
      <c r="I27" s="101">
        <v>2</v>
      </c>
      <c r="J27" s="101">
        <v>3</v>
      </c>
      <c r="K27" s="101">
        <v>4</v>
      </c>
      <c r="L27" s="99"/>
      <c r="M27" s="102">
        <v>0</v>
      </c>
      <c r="N27" s="103"/>
      <c r="O27" s="95"/>
      <c r="AA27">
        <v>101</v>
      </c>
      <c r="AB27">
        <v>102</v>
      </c>
      <c r="AC27">
        <v>103</v>
      </c>
      <c r="AD27">
        <v>104</v>
      </c>
    </row>
    <row r="28" spans="1:30" ht="15.75" x14ac:dyDescent="0.25">
      <c r="A28" s="97">
        <f>E26*B26*D26</f>
        <v>0</v>
      </c>
      <c r="B28" s="98">
        <f>E26*(D26^2)</f>
        <v>0</v>
      </c>
      <c r="C28" s="98">
        <f>-B26*D26*E26</f>
        <v>0</v>
      </c>
      <c r="D28" s="98">
        <f>-(D26^2)*E26</f>
        <v>0</v>
      </c>
      <c r="E28" s="99">
        <v>1</v>
      </c>
      <c r="F28" s="100">
        <v>2</v>
      </c>
      <c r="G28" s="104" t="s">
        <v>126</v>
      </c>
      <c r="H28" s="101">
        <f>-((C5*I21)/(C21*100))*(B26^2)</f>
        <v>-391010.53896868153</v>
      </c>
      <c r="I28" s="101">
        <v>0</v>
      </c>
      <c r="J28" s="101">
        <f>B26*((C5*I21)/(C21*100))*(B26^2)</f>
        <v>391010.53896868153</v>
      </c>
      <c r="K28" s="105">
        <f>D26*E26</f>
        <v>0</v>
      </c>
      <c r="L28" s="99"/>
      <c r="M28" s="102">
        <v>0</v>
      </c>
      <c r="N28" s="106" t="s">
        <v>127</v>
      </c>
      <c r="O28" s="107">
        <f>INDEX(MMULT(H28:K28,M27:M30),1,1)</f>
        <v>-7986085.6085215965</v>
      </c>
      <c r="R28" s="59"/>
      <c r="S28" s="59"/>
      <c r="AA28">
        <v>201</v>
      </c>
      <c r="AB28">
        <v>202</v>
      </c>
      <c r="AC28">
        <v>203</v>
      </c>
      <c r="AD28">
        <v>204</v>
      </c>
    </row>
    <row r="29" spans="1:30" x14ac:dyDescent="0.25">
      <c r="A29" s="97">
        <f>-(B26^2)*E26</f>
        <v>-391010.53896868153</v>
      </c>
      <c r="B29" s="98">
        <f>-B26*D26*E26</f>
        <v>0</v>
      </c>
      <c r="C29" s="98">
        <f>E26*(B26^2)</f>
        <v>391010.53896868153</v>
      </c>
      <c r="D29" s="98">
        <f>B26*D26*E26</f>
        <v>0</v>
      </c>
      <c r="E29" s="99"/>
      <c r="F29" s="100">
        <v>3</v>
      </c>
      <c r="G29" s="95"/>
      <c r="H29" s="95"/>
      <c r="I29" s="95"/>
      <c r="J29" s="95"/>
      <c r="K29" s="95"/>
      <c r="L29" s="99"/>
      <c r="M29" s="102">
        <f>C8</f>
        <v>-20.424220865211133</v>
      </c>
      <c r="N29" s="103"/>
      <c r="O29" s="98"/>
      <c r="R29" s="59"/>
      <c r="S29" s="59"/>
      <c r="AA29">
        <v>301</v>
      </c>
      <c r="AB29">
        <v>302</v>
      </c>
      <c r="AC29">
        <v>303</v>
      </c>
      <c r="AD29">
        <v>304</v>
      </c>
    </row>
    <row r="30" spans="1:30" ht="15.75" thickBot="1" x14ac:dyDescent="0.3">
      <c r="A30" s="108">
        <f>-B26*D26*E26</f>
        <v>0</v>
      </c>
      <c r="B30" s="109">
        <f>-(D26^2)*E26</f>
        <v>0</v>
      </c>
      <c r="C30" s="109">
        <f>B26*D26*E26</f>
        <v>0</v>
      </c>
      <c r="D30" s="109">
        <f>E26*(D26^2)</f>
        <v>0</v>
      </c>
      <c r="E30" s="110"/>
      <c r="F30" s="100">
        <v>4</v>
      </c>
      <c r="G30" s="95"/>
      <c r="H30" s="95"/>
      <c r="I30" s="95"/>
      <c r="J30" s="95"/>
      <c r="K30" s="95"/>
      <c r="L30" s="99"/>
      <c r="M30" s="102">
        <v>0</v>
      </c>
      <c r="N30" s="103"/>
      <c r="O30" s="98"/>
      <c r="R30" s="59"/>
      <c r="S30" s="59"/>
      <c r="AA30">
        <v>401</v>
      </c>
      <c r="AB30">
        <v>402</v>
      </c>
      <c r="AC30">
        <v>403</v>
      </c>
      <c r="AD30">
        <v>404</v>
      </c>
    </row>
    <row r="31" spans="1:30" ht="15.75" thickBot="1" x14ac:dyDescent="0.3">
      <c r="A31">
        <v>3</v>
      </c>
      <c r="B31">
        <v>4</v>
      </c>
      <c r="C31">
        <v>5</v>
      </c>
      <c r="D31">
        <v>6</v>
      </c>
    </row>
    <row r="32" spans="1:30" x14ac:dyDescent="0.25">
      <c r="A32" s="91" t="s">
        <v>124</v>
      </c>
      <c r="B32" s="92">
        <f>(F22-D22)/C22</f>
        <v>-0.55470019622522915</v>
      </c>
      <c r="C32" s="93" t="s">
        <v>125</v>
      </c>
      <c r="D32" s="92">
        <f>(G22-E22)/C22</f>
        <v>0.83205029433784372</v>
      </c>
      <c r="E32" s="94">
        <f>(I22*C6)/(C22*100)</f>
        <v>582435.20603649062</v>
      </c>
      <c r="F32" s="95"/>
      <c r="G32" s="95"/>
      <c r="H32" s="95"/>
      <c r="I32" s="95"/>
      <c r="J32" s="95"/>
      <c r="K32" s="95"/>
      <c r="L32" s="95"/>
      <c r="M32" s="95"/>
      <c r="N32" s="96"/>
      <c r="O32" s="95"/>
    </row>
    <row r="33" spans="1:30" x14ac:dyDescent="0.25">
      <c r="A33" s="97">
        <f>E32*(B32^2)</f>
        <v>179210.83262661251</v>
      </c>
      <c r="B33" s="98">
        <f>E32*D32*B32</f>
        <v>-268816.24893991876</v>
      </c>
      <c r="C33" s="98">
        <f>-A33</f>
        <v>-179210.83262661251</v>
      </c>
      <c r="D33" s="98">
        <f>-B32*D32*E32</f>
        <v>268816.24893991876</v>
      </c>
      <c r="E33" s="99"/>
      <c r="F33" s="100">
        <v>3</v>
      </c>
      <c r="G33" s="95"/>
      <c r="H33" s="101">
        <v>3</v>
      </c>
      <c r="I33" s="101">
        <v>4</v>
      </c>
      <c r="J33" s="101">
        <v>5</v>
      </c>
      <c r="K33" s="101">
        <v>6</v>
      </c>
      <c r="L33" s="99"/>
      <c r="M33" s="102">
        <f>C8</f>
        <v>-20.424220865211133</v>
      </c>
      <c r="N33" s="103"/>
      <c r="O33" s="95"/>
      <c r="AA33">
        <v>303</v>
      </c>
      <c r="AB33">
        <v>304</v>
      </c>
      <c r="AC33">
        <v>305</v>
      </c>
      <c r="AD33">
        <v>306</v>
      </c>
    </row>
    <row r="34" spans="1:30" ht="15.75" x14ac:dyDescent="0.25">
      <c r="A34" s="97">
        <f>E32*B32*D32</f>
        <v>-268816.24893991876</v>
      </c>
      <c r="B34" s="98">
        <f>E32*(D32^2)</f>
        <v>403224.37340987817</v>
      </c>
      <c r="C34" s="98">
        <f>-B32*D32*E32</f>
        <v>268816.24893991876</v>
      </c>
      <c r="D34" s="98">
        <f>-(D32^2)*E32</f>
        <v>-403224.37340987817</v>
      </c>
      <c r="E34" s="99"/>
      <c r="F34" s="100">
        <v>4</v>
      </c>
      <c r="G34" s="104" t="s">
        <v>126</v>
      </c>
      <c r="H34" s="101">
        <f>-B32*((I22*C6)/(C22*100))</f>
        <v>323076.92307692312</v>
      </c>
      <c r="I34" s="101">
        <f>-D32*((I22*C6)/(C22*100))</f>
        <v>-484615.38461538468</v>
      </c>
      <c r="J34" s="101">
        <f>B32*((I22*C6)/(C22*100))</f>
        <v>-323076.92307692312</v>
      </c>
      <c r="K34" s="105">
        <f>D32*((I22*C6)/(C22*100))</f>
        <v>484615.38461538468</v>
      </c>
      <c r="L34" s="99"/>
      <c r="M34" s="102">
        <v>0</v>
      </c>
      <c r="N34" s="106" t="s">
        <v>127</v>
      </c>
      <c r="O34" s="107">
        <f>INDEX(MMULT(H34:K34,M33:M36),1,1)</f>
        <v>14397120.575884815</v>
      </c>
      <c r="AA34">
        <v>403</v>
      </c>
      <c r="AB34">
        <v>404</v>
      </c>
      <c r="AC34">
        <v>405</v>
      </c>
      <c r="AD34">
        <v>406</v>
      </c>
    </row>
    <row r="35" spans="1:30" x14ac:dyDescent="0.25">
      <c r="A35" s="97">
        <f>-(B32^2)*E32</f>
        <v>-179210.83262661251</v>
      </c>
      <c r="B35" s="98">
        <f>-B32*D32*E32</f>
        <v>268816.24893991876</v>
      </c>
      <c r="C35" s="98">
        <f>E32*(B32^2)</f>
        <v>179210.83262661251</v>
      </c>
      <c r="D35" s="98">
        <f>B32*D32*E32</f>
        <v>-268816.24893991876</v>
      </c>
      <c r="E35" s="99"/>
      <c r="F35" s="100">
        <v>5</v>
      </c>
      <c r="G35" s="95"/>
      <c r="H35" s="95"/>
      <c r="I35" s="95"/>
      <c r="J35" s="95"/>
      <c r="K35" s="95"/>
      <c r="L35" s="99"/>
      <c r="M35" s="102">
        <f>C9</f>
        <v>-10.212110441932859</v>
      </c>
      <c r="N35" s="103"/>
      <c r="O35" s="98"/>
      <c r="AA35">
        <v>503</v>
      </c>
      <c r="AB35">
        <v>504</v>
      </c>
      <c r="AC35">
        <v>505</v>
      </c>
      <c r="AD35">
        <v>506</v>
      </c>
    </row>
    <row r="36" spans="1:30" ht="15.75" thickBot="1" x14ac:dyDescent="0.3">
      <c r="A36" s="108">
        <f>-B32*D32*E32</f>
        <v>268816.24893991876</v>
      </c>
      <c r="B36" s="109">
        <f>-(D32^2)*E32</f>
        <v>-403224.37340987817</v>
      </c>
      <c r="C36" s="109">
        <f>B32*D32*E32</f>
        <v>-268816.24893991876</v>
      </c>
      <c r="D36" s="109">
        <f>E32*(D32^2)</f>
        <v>403224.37340987817</v>
      </c>
      <c r="E36" s="110"/>
      <c r="F36" s="100">
        <v>6</v>
      </c>
      <c r="G36" s="95"/>
      <c r="H36" s="95"/>
      <c r="I36" s="95"/>
      <c r="J36" s="95"/>
      <c r="K36" s="95"/>
      <c r="L36" s="99"/>
      <c r="M36" s="102">
        <f>C10</f>
        <v>36.516417660995451</v>
      </c>
      <c r="N36" s="103"/>
      <c r="O36" s="98"/>
      <c r="AA36">
        <v>603</v>
      </c>
      <c r="AB36">
        <v>604</v>
      </c>
      <c r="AC36">
        <v>605</v>
      </c>
      <c r="AD36">
        <v>606</v>
      </c>
    </row>
    <row r="37" spans="1:30" ht="15.75" thickBot="1" x14ac:dyDescent="0.3">
      <c r="A37">
        <v>5</v>
      </c>
      <c r="B37">
        <v>6</v>
      </c>
      <c r="C37">
        <v>1</v>
      </c>
      <c r="D37">
        <v>2</v>
      </c>
    </row>
    <row r="38" spans="1:30" x14ac:dyDescent="0.25">
      <c r="A38" s="91" t="s">
        <v>124</v>
      </c>
      <c r="B38" s="92">
        <f>(F23-D23)/C23</f>
        <v>-0.55470019622522915</v>
      </c>
      <c r="C38" s="93" t="s">
        <v>125</v>
      </c>
      <c r="D38" s="92">
        <f>(G23-E23)/C23</f>
        <v>-0.83205029433784372</v>
      </c>
      <c r="E38" s="94">
        <f>(C7*I23)/(C23*100)</f>
        <v>582435.20603649062</v>
      </c>
      <c r="F38" s="95"/>
      <c r="G38" s="95"/>
      <c r="H38" s="95"/>
      <c r="I38" s="95"/>
      <c r="J38" s="95"/>
      <c r="K38" s="95"/>
      <c r="L38" s="95"/>
      <c r="M38" s="95"/>
      <c r="N38" s="96"/>
      <c r="O38" s="95"/>
    </row>
    <row r="39" spans="1:30" x14ac:dyDescent="0.25">
      <c r="A39" s="97">
        <f>E38*(B38^2)</f>
        <v>179210.83262661251</v>
      </c>
      <c r="B39" s="98">
        <f>E38*D38*B38</f>
        <v>268816.24893991876</v>
      </c>
      <c r="C39" s="98">
        <f>-A39</f>
        <v>-179210.83262661251</v>
      </c>
      <c r="D39" s="98">
        <f>-B38*D38*E38</f>
        <v>-268816.24893991876</v>
      </c>
      <c r="E39" s="99"/>
      <c r="F39" s="100">
        <v>5</v>
      </c>
      <c r="G39" s="95"/>
      <c r="H39" s="101">
        <v>5</v>
      </c>
      <c r="I39" s="101">
        <v>6</v>
      </c>
      <c r="J39" s="101">
        <v>1</v>
      </c>
      <c r="K39" s="101">
        <v>2</v>
      </c>
      <c r="L39" s="99"/>
      <c r="M39" s="102">
        <f>C9</f>
        <v>-10.212110441932859</v>
      </c>
      <c r="N39" s="103"/>
      <c r="O39" s="95"/>
      <c r="AA39">
        <v>505</v>
      </c>
      <c r="AB39">
        <v>506</v>
      </c>
      <c r="AC39">
        <v>501</v>
      </c>
      <c r="AD39">
        <v>502</v>
      </c>
    </row>
    <row r="40" spans="1:30" ht="15.75" x14ac:dyDescent="0.25">
      <c r="A40" s="97">
        <f>E38*B38*D38</f>
        <v>268816.24893991876</v>
      </c>
      <c r="B40" s="98">
        <f>E38*(D38^2)</f>
        <v>403224.37340987817</v>
      </c>
      <c r="C40" s="98">
        <f>-B38*D38*E38</f>
        <v>-268816.24893991876</v>
      </c>
      <c r="D40" s="98">
        <f>-(D38^2)*E38</f>
        <v>-403224.37340987817</v>
      </c>
      <c r="E40" s="99"/>
      <c r="F40" s="100">
        <v>6</v>
      </c>
      <c r="G40" s="104" t="s">
        <v>126</v>
      </c>
      <c r="H40" s="101">
        <f>-B38*(C7*I23)/(C23*100)</f>
        <v>323076.92307692306</v>
      </c>
      <c r="I40" s="101">
        <f>-D38*(C7*I23)/(C23*100)</f>
        <v>484615.38461538462</v>
      </c>
      <c r="J40" s="101">
        <f>B38*(C7*I23)/(C23*100)</f>
        <v>-323076.92307692306</v>
      </c>
      <c r="K40" s="105">
        <f>D38*(C7*I23)/(C23*100)</f>
        <v>-484615.38461538462</v>
      </c>
      <c r="L40" s="99"/>
      <c r="M40" s="102">
        <f>C10</f>
        <v>36.516417660995451</v>
      </c>
      <c r="N40" s="106" t="s">
        <v>127</v>
      </c>
      <c r="O40" s="107">
        <f>INDEX(MMULT(H40:K40,M39:M42),1,1)</f>
        <v>14397120.569857949</v>
      </c>
      <c r="AA40">
        <v>605</v>
      </c>
      <c r="AB40">
        <v>606</v>
      </c>
      <c r="AC40">
        <v>601</v>
      </c>
      <c r="AD40">
        <v>602</v>
      </c>
    </row>
    <row r="41" spans="1:30" x14ac:dyDescent="0.25">
      <c r="A41" s="97">
        <f>-(B38^2)*E38</f>
        <v>-179210.83262661251</v>
      </c>
      <c r="B41" s="98">
        <f>-B38*D38*E38</f>
        <v>-268816.24893991876</v>
      </c>
      <c r="C41" s="98">
        <f>E38*(B38^2)</f>
        <v>179210.83262661251</v>
      </c>
      <c r="D41" s="98">
        <f>B38*D38*E38</f>
        <v>268816.24893991876</v>
      </c>
      <c r="E41" s="99"/>
      <c r="F41" s="100">
        <v>1</v>
      </c>
      <c r="G41" s="95"/>
      <c r="H41" s="95"/>
      <c r="I41" s="95"/>
      <c r="J41" s="95"/>
      <c r="K41" s="95"/>
      <c r="L41" s="99"/>
      <c r="M41" s="102">
        <v>0</v>
      </c>
      <c r="N41" s="103"/>
      <c r="O41" s="98"/>
      <c r="AA41">
        <v>105</v>
      </c>
      <c r="AB41">
        <v>106</v>
      </c>
      <c r="AC41">
        <v>101</v>
      </c>
      <c r="AD41">
        <v>102</v>
      </c>
    </row>
    <row r="42" spans="1:30" ht="15.75" thickBot="1" x14ac:dyDescent="0.3">
      <c r="A42" s="108">
        <f>-B38*D38*E38</f>
        <v>-268816.24893991876</v>
      </c>
      <c r="B42" s="109">
        <f>-(D38^2)*E38</f>
        <v>-403224.37340987817</v>
      </c>
      <c r="C42" s="109">
        <f>B38*D38*E38</f>
        <v>268816.24893991876</v>
      </c>
      <c r="D42" s="109">
        <f>E38*(D38^2)</f>
        <v>403224.37340987817</v>
      </c>
      <c r="E42" s="110"/>
      <c r="F42" s="100">
        <v>2</v>
      </c>
      <c r="G42" s="95"/>
      <c r="H42" s="95"/>
      <c r="I42" s="95"/>
      <c r="J42" s="95"/>
      <c r="K42" s="95"/>
      <c r="L42" s="99"/>
      <c r="M42" s="102">
        <v>0</v>
      </c>
      <c r="N42" s="103"/>
      <c r="O42" s="98"/>
      <c r="AA42">
        <v>205</v>
      </c>
      <c r="AB42">
        <v>206</v>
      </c>
      <c r="AC42">
        <v>201</v>
      </c>
      <c r="AD42">
        <v>202</v>
      </c>
    </row>
    <row r="45" spans="1:30" x14ac:dyDescent="0.25">
      <c r="D45" s="59"/>
      <c r="E45" s="59"/>
      <c r="F45" s="59"/>
      <c r="G45" s="59"/>
      <c r="H45" s="59"/>
      <c r="I45" s="59"/>
      <c r="J45" s="59"/>
      <c r="K45" s="59"/>
    </row>
    <row r="46" spans="1:30" x14ac:dyDescent="0.25">
      <c r="D46" s="59"/>
      <c r="E46" s="115">
        <v>1</v>
      </c>
      <c r="F46" s="115">
        <v>2</v>
      </c>
      <c r="G46" s="115">
        <v>4</v>
      </c>
      <c r="H46" s="115">
        <v>3</v>
      </c>
      <c r="I46" s="115">
        <v>5</v>
      </c>
      <c r="J46" s="115">
        <v>6</v>
      </c>
      <c r="K46" s="115"/>
      <c r="L46" s="59"/>
    </row>
    <row r="47" spans="1:30" x14ac:dyDescent="0.25">
      <c r="D47" s="113">
        <v>1</v>
      </c>
      <c r="E47" s="101">
        <f t="shared" ref="E47:J47" si="0">SUMIF($AA$27:$AD$42,$D$47*100+E46,$A$27:$E$42)</f>
        <v>570221.37159529398</v>
      </c>
      <c r="F47" s="101">
        <f t="shared" si="0"/>
        <v>268816.24893991876</v>
      </c>
      <c r="G47" s="105">
        <f t="shared" si="0"/>
        <v>0</v>
      </c>
      <c r="H47" s="101">
        <f t="shared" si="0"/>
        <v>-391010.53896868153</v>
      </c>
      <c r="I47" s="101">
        <f t="shared" si="0"/>
        <v>-179210.83262661251</v>
      </c>
      <c r="J47" s="105">
        <f t="shared" si="0"/>
        <v>-268816.24893991876</v>
      </c>
      <c r="K47" s="121"/>
      <c r="L47" s="98">
        <v>0</v>
      </c>
      <c r="M47" s="122"/>
      <c r="N47" s="120" t="s">
        <v>128</v>
      </c>
    </row>
    <row r="48" spans="1:30" x14ac:dyDescent="0.25">
      <c r="D48" s="113">
        <v>2</v>
      </c>
      <c r="E48" s="101">
        <f t="shared" ref="E48:J48" si="1">SUMIF($AA$27:$AD$42,$D$48*100+E46,$A$27:$E$42)</f>
        <v>268816.24893991876</v>
      </c>
      <c r="F48" s="101">
        <f t="shared" si="1"/>
        <v>403224.37340987817</v>
      </c>
      <c r="G48" s="105">
        <f t="shared" si="1"/>
        <v>0</v>
      </c>
      <c r="H48" s="101">
        <f t="shared" si="1"/>
        <v>0</v>
      </c>
      <c r="I48" s="101">
        <f t="shared" si="1"/>
        <v>-268816.24893991876</v>
      </c>
      <c r="J48" s="105">
        <f t="shared" si="1"/>
        <v>-403224.37340987817</v>
      </c>
      <c r="K48" s="121"/>
      <c r="L48" s="98">
        <v>0</v>
      </c>
      <c r="M48" s="122"/>
      <c r="N48" s="120" t="s">
        <v>129</v>
      </c>
    </row>
    <row r="49" spans="3:14" ht="15.75" thickBot="1" x14ac:dyDescent="0.3">
      <c r="D49" s="113">
        <v>4</v>
      </c>
      <c r="E49" s="112">
        <f t="shared" ref="E49:J49" si="2">SUMIF($AA$27:$AD$42,$D$49*100+E46,$A$27:$E$42)</f>
        <v>0</v>
      </c>
      <c r="F49" s="112">
        <f t="shared" si="2"/>
        <v>0</v>
      </c>
      <c r="G49" s="114">
        <f t="shared" si="2"/>
        <v>403224.37340987817</v>
      </c>
      <c r="H49" s="112">
        <f t="shared" si="2"/>
        <v>-268816.24893991876</v>
      </c>
      <c r="I49" s="112">
        <f t="shared" si="2"/>
        <v>268816.24893991876</v>
      </c>
      <c r="J49" s="114">
        <f t="shared" si="2"/>
        <v>-403224.37340987817</v>
      </c>
      <c r="K49" s="121"/>
      <c r="L49" s="98">
        <v>0</v>
      </c>
      <c r="M49" s="122"/>
      <c r="N49" s="120" t="s">
        <v>130</v>
      </c>
    </row>
    <row r="50" spans="3:14" x14ac:dyDescent="0.25">
      <c r="D50" s="113">
        <v>3</v>
      </c>
      <c r="E50" s="101">
        <f>SUMIF($AA$27:$AD$42,$D$50*100+E46,$A$27:$E$42)</f>
        <v>-391010.53896868153</v>
      </c>
      <c r="F50" s="101">
        <f>SUMIF($AA$27:$AD$42,$D$50*100+F46,$A$27:$E$42)</f>
        <v>0</v>
      </c>
      <c r="G50" s="105">
        <f>SUMIF($AA$27:$AD$42,$D$50*100+G46,$A$27:$E$42)</f>
        <v>-268816.24893991876</v>
      </c>
      <c r="H50" s="101">
        <f>C29+A33</f>
        <v>570221.37159529398</v>
      </c>
      <c r="I50" s="101">
        <f>C33</f>
        <v>-179210.83262661251</v>
      </c>
      <c r="J50" s="105">
        <f>D33</f>
        <v>268816.24893991876</v>
      </c>
      <c r="K50" s="121"/>
      <c r="L50" s="101" t="s">
        <v>131</v>
      </c>
      <c r="M50" s="122"/>
      <c r="N50" s="120">
        <f>T21*1000</f>
        <v>0</v>
      </c>
    </row>
    <row r="51" spans="3:14" x14ac:dyDescent="0.25">
      <c r="D51" s="113">
        <v>5</v>
      </c>
      <c r="E51" s="101">
        <f>SUMIF($AA$27:$AD$42,$D$51*100+E46,$A$27:$E$42)</f>
        <v>-179210.83262661251</v>
      </c>
      <c r="F51" s="101">
        <f>SUMIF($AA$27:$AD$42,$D$51*100+F46,$A$27:$E$42)</f>
        <v>-268816.24893991876</v>
      </c>
      <c r="G51" s="105">
        <f>SUMIF($AA$27:$AD$42,$D$51*100+G46,$A$27:$E$42)</f>
        <v>268816.24893991876</v>
      </c>
      <c r="H51" s="101">
        <f>A35</f>
        <v>-179210.83262661251</v>
      </c>
      <c r="I51" s="101">
        <f>C35+A39</f>
        <v>358421.66525322502</v>
      </c>
      <c r="J51" s="105">
        <f>D35+B39</f>
        <v>0</v>
      </c>
      <c r="K51" s="121"/>
      <c r="L51" s="101" t="s">
        <v>132</v>
      </c>
      <c r="M51" s="122"/>
      <c r="N51" s="120">
        <f>T22*1000</f>
        <v>0</v>
      </c>
    </row>
    <row r="52" spans="3:14" x14ac:dyDescent="0.25">
      <c r="D52" s="113">
        <v>6</v>
      </c>
      <c r="E52" s="101">
        <f>SUMIF($AA$27:$AD$42,$D$52*100+E46,$A$27:$E$42)</f>
        <v>-268816.24893991876</v>
      </c>
      <c r="F52" s="101">
        <f>SUMIF($AA$27:$AD$42,$D$52*100+F46,$A$27:$E$42)</f>
        <v>-403224.37340987817</v>
      </c>
      <c r="G52" s="105">
        <f>SUMIF($AA$27:$AD$42,$D$52*100+G46,$A$27:$E$42)</f>
        <v>-403224.37340987817</v>
      </c>
      <c r="H52" s="101">
        <f>SUMIF($AA$27:$AD$42,$D$52*100+H46,$A$27:$E$42)</f>
        <v>268816.24893991876</v>
      </c>
      <c r="I52" s="101">
        <f>C36+A40</f>
        <v>0</v>
      </c>
      <c r="J52" s="105">
        <f>D36+B40</f>
        <v>806448.74681975634</v>
      </c>
      <c r="K52" s="121"/>
      <c r="L52" s="101" t="s">
        <v>133</v>
      </c>
      <c r="M52" s="122"/>
      <c r="N52" s="120">
        <f>U22*1000</f>
        <v>-100000</v>
      </c>
    </row>
    <row r="53" spans="3:14" x14ac:dyDescent="0.25">
      <c r="D53" s="59"/>
      <c r="E53" s="115"/>
      <c r="F53" s="115"/>
      <c r="G53" s="115"/>
      <c r="H53" s="115"/>
      <c r="I53" s="115"/>
      <c r="J53" s="115"/>
      <c r="K53" s="115"/>
      <c r="L53" s="59"/>
    </row>
    <row r="54" spans="3:14" x14ac:dyDescent="0.25">
      <c r="D54" s="59"/>
      <c r="E54" s="116"/>
      <c r="F54" s="116"/>
      <c r="G54" s="116"/>
      <c r="H54" s="116"/>
      <c r="I54" s="116"/>
      <c r="J54" s="116"/>
      <c r="K54" s="116"/>
      <c r="L54" s="59"/>
    </row>
    <row r="55" spans="3:14" x14ac:dyDescent="0.25">
      <c r="D55" s="59"/>
      <c r="E55" s="113"/>
      <c r="F55" s="105" t="s">
        <v>131</v>
      </c>
      <c r="G55" s="122"/>
      <c r="H55" s="102">
        <f>(INDEX(MMULT(MINVERSE(H50:J52),(N50:N52)),1,1))</f>
        <v>8.5249194104211112E-2</v>
      </c>
      <c r="I55" s="59"/>
      <c r="J55" s="59"/>
    </row>
    <row r="56" spans="3:14" x14ac:dyDescent="0.25">
      <c r="D56" s="59"/>
      <c r="E56" s="113"/>
      <c r="F56" s="105" t="s">
        <v>132</v>
      </c>
      <c r="G56" s="122"/>
      <c r="H56" s="102">
        <f>(INDEX(MMULT(MINVERSE(H50:J52),(N50:N52)),2,1))</f>
        <v>4.2624597052105556E-2</v>
      </c>
      <c r="I56" s="59"/>
      <c r="J56" s="59"/>
    </row>
    <row r="57" spans="3:14" x14ac:dyDescent="0.25">
      <c r="D57" s="59"/>
      <c r="E57" s="113"/>
      <c r="F57" s="105" t="s">
        <v>133</v>
      </c>
      <c r="G57" s="122"/>
      <c r="H57" s="102">
        <f>(INDEX(MMULT(MINVERSE(H50:J52),(N50:N52)),3,1))</f>
        <v>-0.15241683872529749</v>
      </c>
      <c r="I57" s="59"/>
      <c r="J57" s="59"/>
    </row>
    <row r="58" spans="3:14" x14ac:dyDescent="0.25">
      <c r="D58" s="59"/>
      <c r="E58" s="59"/>
      <c r="F58" s="59"/>
      <c r="G58" s="59"/>
      <c r="H58" s="59"/>
      <c r="I58" s="59"/>
      <c r="J58" s="59"/>
    </row>
    <row r="59" spans="3:14" ht="15.75" thickBot="1" x14ac:dyDescent="0.3"/>
    <row r="60" spans="3:14" ht="15.75" thickBot="1" x14ac:dyDescent="0.3">
      <c r="C60" s="326" t="s">
        <v>141</v>
      </c>
      <c r="D60" s="327"/>
      <c r="E60" s="327"/>
      <c r="F60" s="328"/>
    </row>
    <row r="61" spans="3:14" ht="15.75" thickBot="1" x14ac:dyDescent="0.3">
      <c r="C61" s="340" t="s">
        <v>188</v>
      </c>
      <c r="D61" s="340"/>
      <c r="E61" s="340"/>
      <c r="F61" s="200">
        <f>H50*C8+I50*C9+J50*C10-N50</f>
        <v>-1.862645149230957E-9</v>
      </c>
    </row>
    <row r="62" spans="3:14" ht="15.75" thickBot="1" x14ac:dyDescent="0.3">
      <c r="C62" s="340" t="s">
        <v>180</v>
      </c>
      <c r="D62" s="340"/>
      <c r="E62" s="340"/>
      <c r="F62" s="200">
        <f>H51*C18+I51*C9+J51*C10-N51</f>
        <v>-3660241.6303474233</v>
      </c>
    </row>
    <row r="63" spans="3:14" ht="15.75" thickBot="1" x14ac:dyDescent="0.3">
      <c r="C63" s="337" t="s">
        <v>181</v>
      </c>
      <c r="D63" s="337"/>
      <c r="E63" s="337"/>
      <c r="F63" s="205">
        <f>H52*C8+I52*C9+J52*C10-N52</f>
        <v>24058256.820550121</v>
      </c>
    </row>
    <row r="64" spans="3:14" ht="15.75" thickBot="1" x14ac:dyDescent="0.3"/>
    <row r="65" spans="3:6" x14ac:dyDescent="0.25">
      <c r="C65" s="326" t="s">
        <v>142</v>
      </c>
      <c r="D65" s="327"/>
      <c r="E65" s="327"/>
      <c r="F65" s="328"/>
    </row>
    <row r="66" spans="3:6" ht="15.75" thickBot="1" x14ac:dyDescent="0.3">
      <c r="C66" s="329" t="s">
        <v>189</v>
      </c>
      <c r="D66" s="330"/>
      <c r="E66" s="330"/>
      <c r="F66" s="203">
        <f>0.5*((N50*C8)+(N51*C9)+(N52*C10))</f>
        <v>-1825820.8830497726</v>
      </c>
    </row>
  </sheetData>
  <mergeCells count="17">
    <mergeCell ref="C1:K2"/>
    <mergeCell ref="C62:E62"/>
    <mergeCell ref="B19:B20"/>
    <mergeCell ref="C19:C20"/>
    <mergeCell ref="D19:E19"/>
    <mergeCell ref="F19:G19"/>
    <mergeCell ref="H19:H20"/>
    <mergeCell ref="C65:F65"/>
    <mergeCell ref="C66:E66"/>
    <mergeCell ref="J19:J20"/>
    <mergeCell ref="K19:K20"/>
    <mergeCell ref="O19:O20"/>
    <mergeCell ref="C60:F60"/>
    <mergeCell ref="C63:E63"/>
    <mergeCell ref="I19:I20"/>
    <mergeCell ref="C61:E61"/>
    <mergeCell ref="L19:L20"/>
  </mergeCells>
  <conditionalFormatting sqref="N21">
    <cfRule type="cellIs" dxfId="299" priority="15" operator="equal">
      <formula>IF($L$21&gt;$M$21,$N$21)</formula>
    </cfRule>
  </conditionalFormatting>
  <conditionalFormatting sqref="N22">
    <cfRule type="cellIs" dxfId="298" priority="14" operator="equal">
      <formula>IF($L$22&gt;$M$22,$N$22)</formula>
    </cfRule>
  </conditionalFormatting>
  <conditionalFormatting sqref="N23">
    <cfRule type="cellIs" dxfId="297" priority="13" operator="equal">
      <formula>IF($L$23&gt;$M$23,$N$23)</formula>
    </cfRule>
  </conditionalFormatting>
  <conditionalFormatting sqref="O21">
    <cfRule type="cellIs" dxfId="296" priority="12" operator="equal">
      <formula>IF($L$21&gt;$M$21,$O$21)</formula>
    </cfRule>
  </conditionalFormatting>
  <conditionalFormatting sqref="O22">
    <cfRule type="cellIs" dxfId="295" priority="11" operator="equal">
      <formula>IF($L$22&gt;$M$22,$O$22)</formula>
    </cfRule>
  </conditionalFormatting>
  <conditionalFormatting sqref="O23">
    <cfRule type="cellIs" dxfId="294" priority="10" operator="equal">
      <formula>IF($L$23&gt;$M$23,$O$23)</formula>
    </cfRule>
  </conditionalFormatting>
  <dataValidations disablePrompts="1" count="2">
    <dataValidation type="decimal" operator="greaterThan" allowBlank="1" showInputMessage="1" showErrorMessage="1" error="Just positive number is acceptable_x000a_" sqref="H21:J24 C21">
      <formula1>0</formula1>
    </dataValidation>
    <dataValidation type="decimal" allowBlank="1" showInputMessage="1" showErrorMessage="1" error="Just positive number is acceptable_x000a_Min:0.1                    Max:2" sqref="N19">
      <formula1>0.1</formula1>
      <formula2>2</formula2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6"/>
  <sheetViews>
    <sheetView workbookViewId="0">
      <selection activeCell="D4" sqref="D4"/>
    </sheetView>
  </sheetViews>
  <sheetFormatPr defaultRowHeight="15" x14ac:dyDescent="0.25"/>
  <cols>
    <col min="4" max="4" width="13" bestFit="1" customWidth="1"/>
  </cols>
  <sheetData>
    <row r="1" spans="1:9" x14ac:dyDescent="0.25">
      <c r="A1" s="4">
        <v>1</v>
      </c>
      <c r="C1" s="4">
        <v>5</v>
      </c>
      <c r="E1" s="4">
        <v>11</v>
      </c>
      <c r="G1" t="b">
        <f>AND(D4,D5)</f>
        <v>0</v>
      </c>
    </row>
    <row r="2" spans="1:9" x14ac:dyDescent="0.25">
      <c r="A2" s="4">
        <v>3</v>
      </c>
      <c r="C2" s="4">
        <v>-4</v>
      </c>
      <c r="E2" s="4">
        <v>-5</v>
      </c>
    </row>
    <row r="4" spans="1:9" x14ac:dyDescent="0.25">
      <c r="B4">
        <v>1.0000000000000002</v>
      </c>
      <c r="D4">
        <f>(A1*B4+C1*B5)-E1</f>
        <v>0</v>
      </c>
    </row>
    <row r="5" spans="1:9" x14ac:dyDescent="0.25">
      <c r="B5">
        <v>2</v>
      </c>
      <c r="D5">
        <f>(A2*B4+C2*B5)-E2</f>
        <v>0</v>
      </c>
      <c r="G5">
        <f>A1*B4+C1*B5</f>
        <v>11</v>
      </c>
      <c r="H5" s="348" t="str">
        <f>IF(AND(E1=G5,E2=G6),"answer is  corect","answer is not corect")</f>
        <v>answer is  corect</v>
      </c>
      <c r="I5" s="348"/>
    </row>
    <row r="6" spans="1:9" x14ac:dyDescent="0.25">
      <c r="G6">
        <f>A2*B4+C2*B5</f>
        <v>-4.9999999999999991</v>
      </c>
      <c r="H6" s="348"/>
      <c r="I6" s="348"/>
    </row>
  </sheetData>
  <dataConsolidate function="stdDev"/>
  <customSheetViews>
    <customSheetView guid="{5E047470-7D77-426D-B94B-7966AE8B6508}">
      <selection activeCell="B27" sqref="B27"/>
      <pageMargins left="0.7" right="0.7" top="0.75" bottom="0.75" header="0.3" footer="0.3"/>
    </customSheetView>
  </customSheetViews>
  <mergeCells count="1">
    <mergeCell ref="H5:I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18"/>
  <sheetViews>
    <sheetView workbookViewId="0">
      <selection activeCell="B18" sqref="B18"/>
    </sheetView>
  </sheetViews>
  <sheetFormatPr defaultRowHeight="15" x14ac:dyDescent="0.25"/>
  <cols>
    <col min="2" max="2" width="12.28515625" bestFit="1" customWidth="1"/>
    <col min="3" max="3" width="6.5703125" customWidth="1"/>
  </cols>
  <sheetData>
    <row r="1" spans="1:4" x14ac:dyDescent="0.25">
      <c r="A1" s="11" t="s">
        <v>4</v>
      </c>
      <c r="B1" s="16">
        <v>30</v>
      </c>
    </row>
    <row r="2" spans="1:4" x14ac:dyDescent="0.25">
      <c r="A2" s="11" t="s">
        <v>24</v>
      </c>
      <c r="B2" s="16">
        <v>24</v>
      </c>
    </row>
    <row r="3" spans="1:4" x14ac:dyDescent="0.25">
      <c r="A3" s="11" t="s">
        <v>25</v>
      </c>
      <c r="B3" s="16">
        <v>4</v>
      </c>
    </row>
    <row r="4" spans="1:4" x14ac:dyDescent="0.25">
      <c r="A4" s="11" t="s">
        <v>26</v>
      </c>
      <c r="B4" s="16">
        <v>2</v>
      </c>
    </row>
    <row r="5" spans="1:4" x14ac:dyDescent="0.25">
      <c r="A5" s="11" t="s">
        <v>31</v>
      </c>
      <c r="B5" s="2">
        <v>0.5</v>
      </c>
      <c r="C5" s="11" t="s">
        <v>33</v>
      </c>
      <c r="D5" s="14">
        <v>0.5</v>
      </c>
    </row>
    <row r="6" spans="1:4" x14ac:dyDescent="0.25">
      <c r="A6" s="11" t="s">
        <v>32</v>
      </c>
      <c r="B6" s="2">
        <v>4</v>
      </c>
      <c r="C6" s="11" t="s">
        <v>34</v>
      </c>
      <c r="D6" s="14">
        <v>2</v>
      </c>
    </row>
    <row r="7" spans="1:4" x14ac:dyDescent="0.25">
      <c r="A7" s="11" t="s">
        <v>8</v>
      </c>
      <c r="B7" s="2">
        <v>10</v>
      </c>
      <c r="C7" s="11" t="s">
        <v>36</v>
      </c>
      <c r="D7" s="14">
        <v>20</v>
      </c>
    </row>
    <row r="8" spans="1:4" x14ac:dyDescent="0.25">
      <c r="A8" s="11" t="s">
        <v>9</v>
      </c>
      <c r="B8" s="2">
        <v>30</v>
      </c>
      <c r="C8" s="11" t="s">
        <v>37</v>
      </c>
      <c r="D8" s="14">
        <v>100</v>
      </c>
    </row>
    <row r="9" spans="1:4" x14ac:dyDescent="0.25">
      <c r="A9" s="11" t="s">
        <v>14</v>
      </c>
      <c r="B9" s="2">
        <v>2400</v>
      </c>
    </row>
    <row r="11" spans="1:4" x14ac:dyDescent="0.25">
      <c r="A11" s="11" t="s">
        <v>27</v>
      </c>
      <c r="B11" s="17">
        <f>((B1*B3)*(1.5*B3+B2)+(B2*B4)*(B3+0.5*B2)+(B1*B3)*(0.5*B3))/((B1*B3*2)+(B2*B4))</f>
        <v>16</v>
      </c>
    </row>
    <row r="12" spans="1:4" x14ac:dyDescent="0.25">
      <c r="A12" s="15"/>
      <c r="B12" s="15"/>
    </row>
    <row r="13" spans="1:4" ht="15.75" x14ac:dyDescent="0.25">
      <c r="A13" s="15" t="s">
        <v>29</v>
      </c>
      <c r="B13" s="18">
        <f>B1/(2*B3)</f>
        <v>3.75</v>
      </c>
      <c r="C13" s="19" t="str">
        <f>IF(B13&gt;D13,"&gt;","&lt;")</f>
        <v>&lt;</v>
      </c>
      <c r="D13" s="12">
        <f>545/SQRT(B9)</f>
        <v>11.124765915140268</v>
      </c>
    </row>
    <row r="14" spans="1:4" ht="15.75" x14ac:dyDescent="0.25">
      <c r="A14" s="15" t="s">
        <v>28</v>
      </c>
      <c r="B14" s="17">
        <f>(B2+2*B3)/B4</f>
        <v>16</v>
      </c>
      <c r="C14" s="19" t="str">
        <f>IF(B14&gt;D14,"&gt;","&lt;")</f>
        <v>&lt;</v>
      </c>
      <c r="D14" s="12">
        <f>5365/SQRT(B9)</f>
        <v>109.51260391693125</v>
      </c>
    </row>
    <row r="15" spans="1:4" x14ac:dyDescent="0.25">
      <c r="A15" s="15"/>
      <c r="B15" s="15" t="b">
        <f>AND(B3,B4)</f>
        <v>1</v>
      </c>
    </row>
    <row r="16" spans="1:4" x14ac:dyDescent="0.25">
      <c r="A16" s="15" t="s">
        <v>35</v>
      </c>
      <c r="B16" s="17">
        <f>B2-12*B4</f>
        <v>0</v>
      </c>
    </row>
    <row r="17" spans="1:2" x14ac:dyDescent="0.25">
      <c r="A17" s="15"/>
      <c r="B17" s="15"/>
    </row>
    <row r="18" spans="1:2" ht="15.75" x14ac:dyDescent="0.25">
      <c r="A18" s="13" t="s">
        <v>30</v>
      </c>
      <c r="B18" s="18">
        <f>2*(((B1*(B3)^3)/12)+(B1*B3)*(B2+2*B3-0.5*B3-B11)^2)+(B4*(B2)^3)/12</f>
        <v>49664</v>
      </c>
    </row>
  </sheetData>
  <customSheetViews>
    <customSheetView guid="{5E047470-7D77-426D-B94B-7966AE8B6508}">
      <selection activeCell="C6" sqref="C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65"/>
  <sheetViews>
    <sheetView zoomScale="90" zoomScaleNormal="90" workbookViewId="0">
      <selection activeCell="B1" sqref="B1"/>
    </sheetView>
  </sheetViews>
  <sheetFormatPr defaultRowHeight="15" x14ac:dyDescent="0.25"/>
  <cols>
    <col min="1" max="1" width="9.5703125" customWidth="1"/>
    <col min="2" max="2" width="12.28515625" customWidth="1"/>
    <col min="3" max="3" width="8.42578125" customWidth="1"/>
    <col min="4" max="4" width="11.5703125" customWidth="1"/>
    <col min="5" max="5" width="9.28515625" customWidth="1"/>
  </cols>
  <sheetData>
    <row r="1" spans="1:8" ht="18" x14ac:dyDescent="0.35">
      <c r="A1" s="28" t="s">
        <v>39</v>
      </c>
      <c r="B1" s="25">
        <v>95540</v>
      </c>
    </row>
    <row r="2" spans="1:8" ht="18" x14ac:dyDescent="0.35">
      <c r="A2" s="28" t="s">
        <v>40</v>
      </c>
      <c r="B2" s="25">
        <v>47874000</v>
      </c>
    </row>
    <row r="3" spans="1:8" x14ac:dyDescent="0.25">
      <c r="A3" s="11" t="s">
        <v>108</v>
      </c>
      <c r="B3" s="16">
        <v>60</v>
      </c>
      <c r="C3" s="376" t="str">
        <f>IF(B3&lt;B14,"bf&lt;bf(min)",IF(B3&gt;B15,"bf&gt;bf(max)",IF(B3=B14,"bf=bf(min)",IF(B3=B15,"bf=bf(max)",IF(AND(B3&gt;B14,B3&lt;B15),"bf(min)&lt;bf&lt;bf(max)")))))</f>
        <v>bf(min)&lt;bf&lt;bf(max)</v>
      </c>
      <c r="D3" s="376"/>
      <c r="F3" s="82" t="str">
        <f>IF(OR(B3&lt;B14,B3&gt;B15),"bf is not in range","")</f>
        <v/>
      </c>
    </row>
    <row r="4" spans="1:8" x14ac:dyDescent="0.25">
      <c r="A4" s="11" t="s">
        <v>100</v>
      </c>
      <c r="B4" s="16">
        <v>150</v>
      </c>
      <c r="C4" s="376" t="str">
        <f>IF(B4&lt;D14,"hw&lt;hw(min)",IF(B4&gt;D15,"hw&gt;hw(max)",IF(B4=D14,"hw=hw(min)",IF(B4=D15,"hw=hw(max)",IF(AND(B4&gt;D14,B4&lt;D15),"hw(min)&lt;hw&lt;hw(max)")))))</f>
        <v>hw(min)&lt;hw&lt;hw(max)</v>
      </c>
      <c r="D4" s="376"/>
      <c r="F4" s="82" t="str">
        <f>IF(OR(B4&lt;D14,B4&gt;D15),"hw is not in range","")</f>
        <v/>
      </c>
    </row>
    <row r="5" spans="1:8" ht="15.75" x14ac:dyDescent="0.25">
      <c r="A5" s="11" t="s">
        <v>98</v>
      </c>
      <c r="B5" s="16">
        <v>3.5</v>
      </c>
      <c r="C5" s="376" t="str">
        <f>IF(B5&lt;B12,"tf&lt;tf(min)",IF(B5&gt;B13,"tf&gt;tf(max)",IF(B5=B12,"tf=tf(min)",IF(B5=B13,"tf=tf(max)",IF(AND(B5&gt;B12,B5&lt;B13),"tf(min)&lt;tf&lt;tf(max)")))))</f>
        <v>tf=tf(max)</v>
      </c>
      <c r="D5" s="376"/>
      <c r="F5" s="82" t="str">
        <f>IF(OR(B5&lt;F12,B5&gt;F13),"tf is not in range","")</f>
        <v/>
      </c>
    </row>
    <row r="6" spans="1:8" x14ac:dyDescent="0.25">
      <c r="A6" s="11" t="s">
        <v>97</v>
      </c>
      <c r="B6" s="16">
        <v>1</v>
      </c>
      <c r="C6" s="376" t="str">
        <f>IF(B6&lt;D12,"tw&lt;tw(min)",IF(B6&gt;D13,"tw&gt;tw(max)",IF(B6=D12,"tw=tw(min)",IF(B6=D13,"tw=tw(max)",IF(AND(B6&gt;D12,B6&lt;D13),"tw(min)&lt;tw&lt;tw(max)")))))</f>
        <v>tw(min)&lt;tw&lt;tw(max)</v>
      </c>
      <c r="D6" s="376"/>
      <c r="F6" s="82" t="str">
        <f>IF(OR(B6&lt;D12,B6&gt;D13),"tw is not in range","")</f>
        <v/>
      </c>
    </row>
    <row r="7" spans="1:8" x14ac:dyDescent="0.25">
      <c r="A7" s="11" t="s">
        <v>43</v>
      </c>
      <c r="B7" s="16">
        <v>25</v>
      </c>
      <c r="C7" s="376" t="str">
        <f>IF(B7&lt;H12,"bs&lt;bs(min)",IF(B7&gt;H13,"bs&gt;bs(max)",IF(B7=H12,"bs=bs(min)",IF(B7=H13,"bs=bs(max)",IF(AND(B7&gt;H12,B7&lt;H13),"bs(min)&lt;bs&lt;bs(max)")))))</f>
        <v>bs(min)&lt;bs&lt;bs(max)</v>
      </c>
      <c r="D7" s="376"/>
      <c r="F7" s="82" t="str">
        <f>IF(OR(B7&lt;H12,B7&gt;H13),"bs is not in range","")</f>
        <v/>
      </c>
    </row>
    <row r="8" spans="1:8" x14ac:dyDescent="0.25">
      <c r="A8" s="11" t="s">
        <v>44</v>
      </c>
      <c r="B8" s="16">
        <v>2</v>
      </c>
      <c r="C8" s="376" t="str">
        <f>IF(B8&lt;F12,"ts&lt;ts(min)",IF(B8&gt;F13,"ts&gt;ts(max)",IF(B8=F12,"ts=ts(min)",IF(B8=F13,"ts=ts(max)",IF(AND(B8&gt;F12,B8&lt;F13),"ts(min)&lt;ts&lt;ts(max)")))))</f>
        <v>ts(min)&lt;ts&lt;ts(max)</v>
      </c>
      <c r="D8" s="376"/>
      <c r="F8" s="82" t="str">
        <f>IF(OR(B8&lt;F12,B8&gt;F13),"ts is not in range","")</f>
        <v/>
      </c>
    </row>
    <row r="9" spans="1:8" x14ac:dyDescent="0.25">
      <c r="A9" s="11" t="s">
        <v>56</v>
      </c>
      <c r="B9" s="16">
        <v>100</v>
      </c>
      <c r="C9" s="376" t="str">
        <f>IF(B9&lt;F16,"a&lt;a(min)",IF(B9&gt;H16,"a&gt;a(max)",IF(B9=F16,"a=a(min)",IF(B9=H16,"a=a(max)",IF(AND(B9&gt;F16,B9&lt;H16),"a(min)&lt;a&lt;a(max)")))))</f>
        <v>a=a(max)</v>
      </c>
      <c r="D9" s="376"/>
      <c r="F9" s="82" t="str">
        <f>IF(OR(B9&lt;F16,B9&gt;H16),"a is not in range","")</f>
        <v/>
      </c>
    </row>
    <row r="10" spans="1:8" ht="18" x14ac:dyDescent="0.35">
      <c r="A10" s="20" t="s">
        <v>62</v>
      </c>
      <c r="B10" s="16">
        <v>5</v>
      </c>
      <c r="C10" s="376" t="str">
        <f>IF(B10&lt;H14,"bst&lt;bst(min)",IF(B10&gt;H15,"bst&gt;bst(max)",IF(B10=H14,"bst=bst(min)",IF(B10=H15,"bst=bst(max)",IF(AND(B10&gt;H14,B10&lt;H15),"bst(min)&lt;bst&lt;bst(max)")))))</f>
        <v>bst=bst(min)</v>
      </c>
      <c r="D10" s="376"/>
      <c r="F10" s="82" t="str">
        <f>IF(OR(B10&lt;H14,B10&gt;H15),"bst is not in range","")</f>
        <v/>
      </c>
    </row>
    <row r="11" spans="1:8" ht="18" x14ac:dyDescent="0.35">
      <c r="A11" s="20" t="s">
        <v>63</v>
      </c>
      <c r="B11" s="16">
        <v>1</v>
      </c>
      <c r="C11" s="376" t="str">
        <f>IF(B11&lt;F14,"tst&lt;tst(min)",IF(B11&gt;F15,"tst&gt;tst(max)",IF(B11=F14,"tst=tst(min)",IF(B11=F15,"tst=tst(max)",IF(AND(B11&gt;F14,B11&lt;F15),"tst(min)&lt;tst&lt;tst(max)")))))</f>
        <v>tst(min)&lt;tst&lt;tst(max)</v>
      </c>
      <c r="D11" s="376"/>
      <c r="F11" s="82" t="str">
        <f>IF(OR(B11&lt;F14,B11&gt;F15),"tst is not in range","")</f>
        <v/>
      </c>
    </row>
    <row r="12" spans="1:8" x14ac:dyDescent="0.25">
      <c r="A12" s="24" t="s">
        <v>88</v>
      </c>
      <c r="B12" s="25">
        <v>0.5</v>
      </c>
      <c r="C12" s="23" t="s">
        <v>91</v>
      </c>
      <c r="D12" s="21">
        <v>0.5</v>
      </c>
      <c r="E12" s="24" t="s">
        <v>92</v>
      </c>
      <c r="F12" s="27">
        <v>0.5</v>
      </c>
      <c r="G12" s="23" t="s">
        <v>94</v>
      </c>
      <c r="H12" s="6">
        <v>5</v>
      </c>
    </row>
    <row r="13" spans="1:8" x14ac:dyDescent="0.25">
      <c r="A13" s="24" t="s">
        <v>89</v>
      </c>
      <c r="B13" s="25">
        <v>3.5</v>
      </c>
      <c r="C13" s="23" t="s">
        <v>90</v>
      </c>
      <c r="D13" s="21">
        <v>3.5</v>
      </c>
      <c r="E13" s="24" t="s">
        <v>93</v>
      </c>
      <c r="F13" s="27">
        <v>3.5</v>
      </c>
      <c r="G13" s="23" t="s">
        <v>95</v>
      </c>
      <c r="H13" s="6">
        <v>30</v>
      </c>
    </row>
    <row r="14" spans="1:8" x14ac:dyDescent="0.25">
      <c r="A14" s="23" t="s">
        <v>106</v>
      </c>
      <c r="B14" s="2">
        <v>10</v>
      </c>
      <c r="C14" s="24" t="s">
        <v>101</v>
      </c>
      <c r="D14" s="26">
        <v>20</v>
      </c>
      <c r="E14" s="23" t="s">
        <v>71</v>
      </c>
      <c r="F14" s="6">
        <v>0.5</v>
      </c>
      <c r="G14" s="24" t="s">
        <v>72</v>
      </c>
      <c r="H14" s="27">
        <v>5</v>
      </c>
    </row>
    <row r="15" spans="1:8" x14ac:dyDescent="0.25">
      <c r="A15" s="23" t="s">
        <v>107</v>
      </c>
      <c r="B15" s="2">
        <v>70</v>
      </c>
      <c r="C15" s="24" t="s">
        <v>102</v>
      </c>
      <c r="D15" s="26">
        <v>200</v>
      </c>
      <c r="E15" s="23" t="s">
        <v>75</v>
      </c>
      <c r="F15" s="6">
        <v>3.5</v>
      </c>
      <c r="G15" s="24" t="s">
        <v>76</v>
      </c>
      <c r="H15" s="27">
        <v>30</v>
      </c>
    </row>
    <row r="16" spans="1:8" x14ac:dyDescent="0.25">
      <c r="A16" s="34" t="s">
        <v>14</v>
      </c>
      <c r="B16" s="35">
        <v>2400</v>
      </c>
      <c r="E16" s="24" t="s">
        <v>73</v>
      </c>
      <c r="F16" s="27">
        <v>5</v>
      </c>
      <c r="G16" s="23" t="s">
        <v>74</v>
      </c>
      <c r="H16" s="6">
        <v>100</v>
      </c>
    </row>
    <row r="17" spans="1:8" ht="14.25" customHeight="1" x14ac:dyDescent="0.35">
      <c r="A17" s="24" t="s">
        <v>83</v>
      </c>
      <c r="B17" s="25">
        <v>1</v>
      </c>
      <c r="C17" s="81" t="s">
        <v>99</v>
      </c>
      <c r="D17" s="25">
        <v>540</v>
      </c>
      <c r="E17" s="32"/>
      <c r="F17" s="33"/>
      <c r="G17" s="23"/>
      <c r="H17" s="6"/>
    </row>
    <row r="19" spans="1:8" x14ac:dyDescent="0.25">
      <c r="A19" s="11" t="s">
        <v>27</v>
      </c>
      <c r="B19" s="30">
        <f>((B3*B5)*(1.5*B5+B4)+(B4*B6)*(B5+0.5*B4)+(B3*B5)*(0.5*B5))/((B3*B5*2)+(B4*B6))</f>
        <v>78.5</v>
      </c>
    </row>
    <row r="20" spans="1:8" ht="15.75" x14ac:dyDescent="0.25">
      <c r="A20" s="13" t="s">
        <v>30</v>
      </c>
      <c r="B20" s="22">
        <f>2*(((B3*(B5)^3)/12)+(B3*B5)*(B4+2*B5-0.5*B5-B19)^2)+(B6*(B4)^3)/12</f>
        <v>2755715</v>
      </c>
    </row>
    <row r="21" spans="1:8" ht="15.75" thickBot="1" x14ac:dyDescent="0.3">
      <c r="A21" s="15"/>
      <c r="B21" s="18"/>
      <c r="D21" s="12"/>
    </row>
    <row r="22" spans="1:8" x14ac:dyDescent="0.25">
      <c r="A22" s="351" t="s">
        <v>78</v>
      </c>
      <c r="B22" s="352"/>
      <c r="C22" s="352"/>
      <c r="D22" s="353"/>
    </row>
    <row r="23" spans="1:8" ht="15.75" x14ac:dyDescent="0.25">
      <c r="A23" s="40" t="s">
        <v>103</v>
      </c>
      <c r="B23" s="39">
        <f>B4/B6</f>
        <v>150</v>
      </c>
      <c r="C23" s="37" t="str">
        <f>IF(B23&gt;D23,"&gt;","&lt;")</f>
        <v>&lt;</v>
      </c>
      <c r="D23" s="41">
        <f>16770/(B16)^0.5</f>
        <v>342.31619155394912</v>
      </c>
      <c r="F23" s="31"/>
    </row>
    <row r="24" spans="1:8" ht="15.75" customHeight="1" x14ac:dyDescent="0.25">
      <c r="A24" s="354" t="s">
        <v>79</v>
      </c>
      <c r="B24" s="355"/>
      <c r="C24" s="355"/>
      <c r="D24" s="356"/>
    </row>
    <row r="25" spans="1:8" ht="15.75" x14ac:dyDescent="0.25">
      <c r="A25" s="40" t="s">
        <v>104</v>
      </c>
      <c r="B25" s="36">
        <f>B4/B6</f>
        <v>150</v>
      </c>
      <c r="C25" s="37" t="str">
        <f>IF(B25&gt;D25,"&gt;","&lt;")</f>
        <v>&lt;</v>
      </c>
      <c r="D25" s="41">
        <f>6370/(0.6*B16)^0.5</f>
        <v>167.86423912727147</v>
      </c>
    </row>
    <row r="26" spans="1:8" ht="16.5" thickBot="1" x14ac:dyDescent="0.3">
      <c r="A26" s="42" t="s">
        <v>105</v>
      </c>
      <c r="B26" s="43">
        <f>B4/B6</f>
        <v>150</v>
      </c>
      <c r="C26" s="44" t="str">
        <f>IF(B26&gt;D26,"&gt;","&lt;")</f>
        <v>&lt;</v>
      </c>
      <c r="D26" s="45">
        <f>MIN(D23,D25)</f>
        <v>167.86423912727147</v>
      </c>
    </row>
    <row r="27" spans="1:8" ht="15.75" customHeight="1" x14ac:dyDescent="0.25">
      <c r="A27" s="351" t="s">
        <v>80</v>
      </c>
      <c r="B27" s="352"/>
      <c r="C27" s="352"/>
      <c r="D27" s="353"/>
    </row>
    <row r="28" spans="1:8" ht="18.75" x14ac:dyDescent="0.35">
      <c r="A28" s="46" t="s">
        <v>60</v>
      </c>
      <c r="B28" s="36">
        <f>B1/(B4*B6)</f>
        <v>636.93333333333328</v>
      </c>
      <c r="C28" s="37" t="str">
        <f>IF(B28&gt;D28,"&gt;","&lt;")</f>
        <v>&lt;</v>
      </c>
      <c r="D28" s="41">
        <f>0.4*B16</f>
        <v>960</v>
      </c>
    </row>
    <row r="29" spans="1:8" ht="15.75" customHeight="1" x14ac:dyDescent="0.25">
      <c r="A29" s="357" t="s">
        <v>81</v>
      </c>
      <c r="B29" s="358"/>
      <c r="C29" s="358"/>
      <c r="D29" s="359"/>
    </row>
    <row r="30" spans="1:8" ht="15.75" customHeight="1" x14ac:dyDescent="0.25">
      <c r="A30" s="47" t="s">
        <v>96</v>
      </c>
      <c r="B30" s="38">
        <f>B3/(2*B5)</f>
        <v>8.5714285714285712</v>
      </c>
      <c r="C30" s="37" t="str">
        <f>IF(B30&gt;D30,"&gt;","&lt;")</f>
        <v>&lt;</v>
      </c>
      <c r="D30" s="84">
        <f>795/(B16/(7/(B4/B6)^0.5))^0.5</f>
        <v>12.268393946991598</v>
      </c>
    </row>
    <row r="31" spans="1:8" ht="18" x14ac:dyDescent="0.35">
      <c r="A31" s="48" t="s">
        <v>38</v>
      </c>
      <c r="B31" s="39">
        <f>(B2/(B16*0.6*B4))-((B6*B4)/6)</f>
        <v>196.63888888888889</v>
      </c>
      <c r="C31" s="37" t="str">
        <f>IF(B31&gt;(B3*B5),"&gt;","&lt;")</f>
        <v>&lt;</v>
      </c>
      <c r="D31" s="41">
        <f>B3*B5</f>
        <v>210</v>
      </c>
      <c r="F31" s="29"/>
    </row>
    <row r="32" spans="1:8" ht="18.75" thickBot="1" x14ac:dyDescent="0.4">
      <c r="A32" s="50" t="s">
        <v>41</v>
      </c>
      <c r="B32" s="36">
        <f>B3/(2*B5)</f>
        <v>8.5714285714285712</v>
      </c>
      <c r="C32" s="37" t="str">
        <f>IF(B32&gt;D32,"&gt;","&lt;")</f>
        <v>&gt;</v>
      </c>
      <c r="D32" s="41">
        <f>7/(B4/B6)^0.5</f>
        <v>0.57154760664940818</v>
      </c>
    </row>
    <row r="33" spans="1:7" ht="15.75" customHeight="1" x14ac:dyDescent="0.25">
      <c r="A33" s="360" t="s">
        <v>82</v>
      </c>
      <c r="B33" s="361"/>
      <c r="C33" s="361"/>
      <c r="D33" s="362"/>
    </row>
    <row r="34" spans="1:7" ht="15.75" customHeight="1" x14ac:dyDescent="0.25">
      <c r="A34" s="363" t="s">
        <v>385</v>
      </c>
      <c r="B34" s="364"/>
      <c r="C34" s="364"/>
      <c r="D34" s="365"/>
    </row>
    <row r="35" spans="1:7" ht="15.75" customHeight="1" x14ac:dyDescent="0.35">
      <c r="A35" s="53" t="s">
        <v>84</v>
      </c>
      <c r="B35" s="39">
        <f>2685*(B17/B16)^0.5</f>
        <v>54.807332994773617</v>
      </c>
      <c r="C35" s="54" t="s">
        <v>86</v>
      </c>
      <c r="D35" s="41">
        <f>6000*(B17/B16)^0.5</f>
        <v>122.47448713915891</v>
      </c>
      <c r="G35">
        <f>0.6*B16</f>
        <v>1440</v>
      </c>
    </row>
    <row r="36" spans="1:7" ht="15.75" customHeight="1" x14ac:dyDescent="0.25">
      <c r="A36" s="53" t="s">
        <v>85</v>
      </c>
      <c r="B36" s="39">
        <f>D17/(((((B5*B3^3)/12)/(B3*B5+(B4*B6/6)))^0.5))</f>
        <v>32.980513727264551</v>
      </c>
      <c r="C36" s="349" t="str">
        <f>IF(B36&lt;=B35,"λ&lt;λB",IF(AND(B36&gt;B35,D35&gt;B36),"λB&lt;λ&lt;λc",IF(B36&gt;=D35,"λ&gt;λc",)))</f>
        <v>λ&lt;λB</v>
      </c>
      <c r="D36" s="350"/>
      <c r="F36" s="59"/>
      <c r="G36">
        <f>(((2/3)-((B16*B36^2)/(107500000*B17)))*B16)</f>
        <v>1541.7187508305647</v>
      </c>
    </row>
    <row r="37" spans="1:7" ht="15.75" customHeight="1" thickBot="1" x14ac:dyDescent="0.4">
      <c r="A37" s="55" t="s">
        <v>87</v>
      </c>
      <c r="B37" s="51">
        <f>IF(B36&lt;=B35,0.6*B16,IF(AND(B36&gt;B35,D35&gt;B36),MIN((((2/3)-((B16*B36^2)/(107500000*B17)))*B16),0.6*B16),IF(B36&gt;=D35,MIN(MAX(12000000*B17/(B36^2),(840000*B17)/((D17*(B4+2*B5))/(B3*B5))),0.6*B16),)))</f>
        <v>1440</v>
      </c>
      <c r="C37" s="44" t="str">
        <f>IF(B37&gt;D37,"&gt;","&lt;")</f>
        <v>&gt;</v>
      </c>
      <c r="D37" s="83">
        <f>B2/(B20/(0.5*B4+B5))</f>
        <v>1363.7509684419472</v>
      </c>
      <c r="G37">
        <f>12000000*B17/(B36^2)</f>
        <v>11032.308904649331</v>
      </c>
    </row>
    <row r="38" spans="1:7" x14ac:dyDescent="0.25">
      <c r="A38" s="373" t="s">
        <v>42</v>
      </c>
      <c r="B38" s="374"/>
      <c r="C38" s="374"/>
      <c r="D38" s="375"/>
      <c r="G38">
        <f>(840000*B17)/((D17*(B4+2*B5))/(B3*B5))</f>
        <v>2080.6794055201699</v>
      </c>
    </row>
    <row r="39" spans="1:7" ht="18" x14ac:dyDescent="0.35">
      <c r="A39" s="50" t="s">
        <v>45</v>
      </c>
      <c r="B39" s="56">
        <f>B7/B8</f>
        <v>12.5</v>
      </c>
      <c r="C39" s="57" t="str">
        <f>IF(B39&gt;D39,"&gt;","&lt;")</f>
        <v>&lt;</v>
      </c>
      <c r="D39" s="41">
        <f>795/(B16)^0.5</f>
        <v>16.227869545938557</v>
      </c>
    </row>
    <row r="40" spans="1:7" x14ac:dyDescent="0.25">
      <c r="A40" s="354" t="s">
        <v>46</v>
      </c>
      <c r="B40" s="355"/>
      <c r="C40" s="355"/>
      <c r="D40" s="356"/>
    </row>
    <row r="41" spans="1:7" x14ac:dyDescent="0.25">
      <c r="A41" s="58" t="s">
        <v>47</v>
      </c>
      <c r="B41" s="56">
        <f>2*B7*B8+25*B6*B6</f>
        <v>125</v>
      </c>
      <c r="C41" s="59"/>
      <c r="D41" s="60"/>
    </row>
    <row r="42" spans="1:7" ht="18.75" x14ac:dyDescent="0.35">
      <c r="A42" s="61" t="s">
        <v>48</v>
      </c>
      <c r="B42" s="62">
        <f>(B8*(B6+2*B7)^3)/12</f>
        <v>22108.5</v>
      </c>
      <c r="C42" s="59"/>
      <c r="D42" s="60"/>
    </row>
    <row r="43" spans="1:7" x14ac:dyDescent="0.25">
      <c r="A43" s="58" t="s">
        <v>49</v>
      </c>
      <c r="B43" s="56">
        <f>(B42/B41)^0.5</f>
        <v>13.299172906613403</v>
      </c>
      <c r="C43" s="59"/>
      <c r="D43" s="60"/>
    </row>
    <row r="44" spans="1:7" x14ac:dyDescent="0.25">
      <c r="A44" s="58" t="s">
        <v>50</v>
      </c>
      <c r="B44" s="62">
        <f>0.75*B4/B43</f>
        <v>8.4591726711107036</v>
      </c>
      <c r="C44" s="59"/>
      <c r="D44" s="60"/>
    </row>
    <row r="45" spans="1:7" x14ac:dyDescent="0.25">
      <c r="A45" s="58" t="s">
        <v>51</v>
      </c>
      <c r="B45" s="56">
        <f>6440/(B16)^0.5</f>
        <v>131.45594952936389</v>
      </c>
      <c r="C45" s="59"/>
      <c r="D45" s="60"/>
    </row>
    <row r="46" spans="1:7" x14ac:dyDescent="0.25">
      <c r="A46" s="58" t="s">
        <v>52</v>
      </c>
      <c r="B46" s="56">
        <f>IF(B44&lt;B45,(B16/((5/3)+((3*B44)/(8*B45))-(1/8)*(B44/B45)^3)*(1-0.5*(B44/B45)^2)),10500000/(B44/B45)^2)</f>
        <v>1416.5372124660134</v>
      </c>
      <c r="C46" s="59"/>
      <c r="D46" s="60"/>
    </row>
    <row r="47" spans="1:7" ht="15.75" thickBot="1" x14ac:dyDescent="0.3">
      <c r="A47" s="63" t="s">
        <v>53</v>
      </c>
      <c r="B47" s="64">
        <f>B46*B41</f>
        <v>177067.15155825167</v>
      </c>
      <c r="C47" s="65" t="str">
        <f>IF(B47&gt;D47,"&gt;","&lt;")</f>
        <v>&gt;</v>
      </c>
      <c r="D47" s="66">
        <f>B1</f>
        <v>95540</v>
      </c>
    </row>
    <row r="48" spans="1:7" x14ac:dyDescent="0.25">
      <c r="A48" s="366" t="s">
        <v>54</v>
      </c>
      <c r="B48" s="367"/>
      <c r="C48" s="367"/>
      <c r="D48" s="368"/>
    </row>
    <row r="49" spans="1:4" x14ac:dyDescent="0.25">
      <c r="A49" s="354" t="s">
        <v>55</v>
      </c>
      <c r="B49" s="355"/>
      <c r="C49" s="355"/>
      <c r="D49" s="356"/>
    </row>
    <row r="50" spans="1:4" x14ac:dyDescent="0.25">
      <c r="A50" s="67" t="s">
        <v>77</v>
      </c>
      <c r="B50" s="68">
        <f>B9/B4</f>
        <v>0.66666666666666663</v>
      </c>
      <c r="C50" s="69" t="str">
        <f>IF(B50&gt;D50,"&gt;","&lt;")</f>
        <v>&lt;</v>
      </c>
      <c r="D50" s="70">
        <v>1</v>
      </c>
    </row>
    <row r="51" spans="1:4" ht="17.25" customHeight="1" x14ac:dyDescent="0.25">
      <c r="A51" s="71" t="s">
        <v>58</v>
      </c>
      <c r="B51" s="56">
        <f>4+(5.34/(B9/B4)^2)</f>
        <v>16.015000000000001</v>
      </c>
      <c r="C51" s="57"/>
      <c r="D51" s="60"/>
    </row>
    <row r="52" spans="1:4" ht="15.75" customHeight="1" x14ac:dyDescent="0.35">
      <c r="A52" s="48" t="s">
        <v>57</v>
      </c>
      <c r="B52" s="56">
        <f>(1594/(B4/B6))*(B51/B16)^0.5</f>
        <v>0.8680703220788476</v>
      </c>
      <c r="C52" s="57" t="str">
        <f>IF(B52&gt;D52,"&gt;","&lt;")</f>
        <v>&gt;</v>
      </c>
      <c r="D52" s="49">
        <v>0.8</v>
      </c>
    </row>
    <row r="53" spans="1:4" ht="18" x14ac:dyDescent="0.35">
      <c r="A53" s="48" t="s">
        <v>59</v>
      </c>
      <c r="B53" s="56">
        <f>(B16/2.89)*(B52+((1-B52)/(1.15*(1+(B9/B4)^2)^0.5)))</f>
        <v>800.15862631818254</v>
      </c>
      <c r="C53" s="59"/>
      <c r="D53" s="60"/>
    </row>
    <row r="54" spans="1:4" ht="19.5" thickBot="1" x14ac:dyDescent="0.4">
      <c r="A54" s="72" t="s">
        <v>60</v>
      </c>
      <c r="B54" s="64">
        <f>B1/(B6*B4)</f>
        <v>636.93333333333328</v>
      </c>
      <c r="C54" s="65" t="str">
        <f>IF(D54&gt;B54,"&lt;","&gt;")</f>
        <v>&lt;</v>
      </c>
      <c r="D54" s="45">
        <f>B53</f>
        <v>800.15862631818254</v>
      </c>
    </row>
    <row r="55" spans="1:4" x14ac:dyDescent="0.25">
      <c r="A55" s="366" t="s">
        <v>61</v>
      </c>
      <c r="B55" s="367"/>
      <c r="C55" s="367"/>
      <c r="D55" s="368"/>
    </row>
    <row r="56" spans="1:4" ht="18.75" thickBot="1" x14ac:dyDescent="0.4">
      <c r="A56" s="73" t="s">
        <v>65</v>
      </c>
      <c r="B56" s="64">
        <f>((1-B52)/2)*((B9/B4)-(((B9/B4)^2)/(1+(B9/B4)^2)^0.5))*1*B4*1*1</f>
        <v>2.937412984517894</v>
      </c>
      <c r="C56" s="74"/>
      <c r="D56" s="75"/>
    </row>
    <row r="57" spans="1:4" x14ac:dyDescent="0.25">
      <c r="A57" s="366" t="s">
        <v>66</v>
      </c>
      <c r="B57" s="367"/>
      <c r="C57" s="367"/>
      <c r="D57" s="368"/>
    </row>
    <row r="58" spans="1:4" ht="18.75" thickBot="1" x14ac:dyDescent="0.4">
      <c r="A58" s="73" t="s">
        <v>64</v>
      </c>
      <c r="B58" s="76">
        <f>B10*B11</f>
        <v>5</v>
      </c>
      <c r="C58" s="65" t="str">
        <f>IF(B58&gt;D58,"&gt;","&lt;")</f>
        <v>&gt;</v>
      </c>
      <c r="D58" s="77">
        <f>B56/2</f>
        <v>1.468706492258947</v>
      </c>
    </row>
    <row r="59" spans="1:4" x14ac:dyDescent="0.25">
      <c r="A59" s="366" t="s">
        <v>67</v>
      </c>
      <c r="B59" s="367"/>
      <c r="C59" s="367"/>
      <c r="D59" s="368"/>
    </row>
    <row r="60" spans="1:4" ht="18.75" thickBot="1" x14ac:dyDescent="0.4">
      <c r="A60" s="73" t="s">
        <v>68</v>
      </c>
      <c r="B60" s="64">
        <f>B10/B11</f>
        <v>5</v>
      </c>
      <c r="C60" s="65" t="str">
        <f>IF(B60&gt;D60,"&gt;","&lt;")</f>
        <v>&lt;</v>
      </c>
      <c r="D60" s="45">
        <f>795/(B16)^0.5</f>
        <v>16.227869545938557</v>
      </c>
    </row>
    <row r="61" spans="1:4" x14ac:dyDescent="0.25">
      <c r="A61" s="366" t="s">
        <v>69</v>
      </c>
      <c r="B61" s="367"/>
      <c r="C61" s="367"/>
      <c r="D61" s="368"/>
    </row>
    <row r="62" spans="1:4" ht="19.5" thickBot="1" x14ac:dyDescent="0.4">
      <c r="A62" s="78" t="s">
        <v>48</v>
      </c>
      <c r="B62" s="79">
        <f>(B11*(B6+2*B10)^3)/12</f>
        <v>110.91666666666667</v>
      </c>
      <c r="C62" s="65" t="str">
        <f>IF(B62&gt;D62,"&gt;","&lt;")</f>
        <v>&gt;</v>
      </c>
      <c r="D62" s="52">
        <f>(B4/50)^4</f>
        <v>81</v>
      </c>
    </row>
    <row r="63" spans="1:4" ht="15.75" thickBot="1" x14ac:dyDescent="0.3"/>
    <row r="64" spans="1:4" x14ac:dyDescent="0.25">
      <c r="A64" s="369" t="s">
        <v>70</v>
      </c>
      <c r="B64" s="370"/>
      <c r="C64" s="370"/>
      <c r="D64" s="371"/>
    </row>
    <row r="65" spans="1:4" ht="15.75" thickBot="1" x14ac:dyDescent="0.3">
      <c r="A65" s="80"/>
      <c r="B65" s="372">
        <f>(B4*B5)+(2*B3*B6)+(B7*B8)+(B10*B11)</f>
        <v>700</v>
      </c>
      <c r="C65" s="372"/>
      <c r="D65" s="75"/>
    </row>
  </sheetData>
  <mergeCells count="26">
    <mergeCell ref="C8:D8"/>
    <mergeCell ref="C9:D9"/>
    <mergeCell ref="C10:D10"/>
    <mergeCell ref="C11:D11"/>
    <mergeCell ref="C3:D3"/>
    <mergeCell ref="C4:D4"/>
    <mergeCell ref="C5:D5"/>
    <mergeCell ref="C6:D6"/>
    <mergeCell ref="C7:D7"/>
    <mergeCell ref="A59:D59"/>
    <mergeCell ref="A61:D61"/>
    <mergeCell ref="A64:D64"/>
    <mergeCell ref="B65:C65"/>
    <mergeCell ref="A38:D38"/>
    <mergeCell ref="A40:D40"/>
    <mergeCell ref="A48:D48"/>
    <mergeCell ref="A49:D49"/>
    <mergeCell ref="A55:D55"/>
    <mergeCell ref="A57:D57"/>
    <mergeCell ref="C36:D36"/>
    <mergeCell ref="A22:D22"/>
    <mergeCell ref="A24:D24"/>
    <mergeCell ref="A27:D27"/>
    <mergeCell ref="A29:D29"/>
    <mergeCell ref="A33:D33"/>
    <mergeCell ref="A34:D34"/>
  </mergeCells>
  <conditionalFormatting sqref="C31">
    <cfRule type="cellIs" dxfId="293" priority="23" operator="equal">
      <formula>IF($B$31&gt;$D$31,$C$31,)</formula>
    </cfRule>
  </conditionalFormatting>
  <conditionalFormatting sqref="C32">
    <cfRule type="cellIs" dxfId="292" priority="22" operator="equal">
      <formula>IF($B$32&lt;$D$32,$C$32,)</formula>
    </cfRule>
  </conditionalFormatting>
  <conditionalFormatting sqref="C39">
    <cfRule type="cellIs" dxfId="291" priority="20" operator="equal">
      <formula>IF($B$39&gt;$D$39,$C$39,)</formula>
    </cfRule>
  </conditionalFormatting>
  <conditionalFormatting sqref="C47">
    <cfRule type="cellIs" dxfId="290" priority="19" operator="equal">
      <formula>IF($B$47&lt;$D$47,$C$47,)</formula>
    </cfRule>
  </conditionalFormatting>
  <conditionalFormatting sqref="C52">
    <cfRule type="cellIs" dxfId="289" priority="18" operator="equal">
      <formula>IF($B$52&lt;$D$52,$C$52,)</formula>
    </cfRule>
  </conditionalFormatting>
  <conditionalFormatting sqref="C54">
    <cfRule type="cellIs" dxfId="288" priority="17" operator="equal">
      <formula>IF($B$54&gt;$D$54,$C$54,)</formula>
    </cfRule>
  </conditionalFormatting>
  <conditionalFormatting sqref="C58">
    <cfRule type="cellIs" dxfId="287" priority="16" operator="equal">
      <formula>IF($B$58&lt;$D$58,$C$58,)</formula>
    </cfRule>
  </conditionalFormatting>
  <conditionalFormatting sqref="C60">
    <cfRule type="cellIs" dxfId="286" priority="15" operator="equal">
      <formula>IF($B$60&gt;$D$60,$C$60,)</formula>
    </cfRule>
  </conditionalFormatting>
  <conditionalFormatting sqref="C62">
    <cfRule type="cellIs" dxfId="285" priority="14" operator="equal">
      <formula>IF($B$62&lt;$D$62,$C$62,)</formula>
    </cfRule>
  </conditionalFormatting>
  <conditionalFormatting sqref="C50">
    <cfRule type="cellIs" dxfId="284" priority="13" operator="equal">
      <formula>IF($B$50&gt;$D$50,$C$50,)</formula>
    </cfRule>
  </conditionalFormatting>
  <conditionalFormatting sqref="C23">
    <cfRule type="cellIs" dxfId="283" priority="12" operator="equal">
      <formula>IF($B$23&gt;$D$23,$C$23,)</formula>
    </cfRule>
  </conditionalFormatting>
  <conditionalFormatting sqref="C25">
    <cfRule type="cellIs" dxfId="282" priority="9" operator="equal">
      <formula>IF($B$25&gt;$D$25,$C$25,)</formula>
    </cfRule>
  </conditionalFormatting>
  <conditionalFormatting sqref="C28">
    <cfRule type="cellIs" dxfId="281" priority="5" operator="equal">
      <formula>IF($B$28&gt;$D$28,$C$28,)</formula>
    </cfRule>
  </conditionalFormatting>
  <conditionalFormatting sqref="C26">
    <cfRule type="cellIs" dxfId="280" priority="4" operator="equal">
      <formula>IF($B$26&gt;$D$26,$C$26,)</formula>
    </cfRule>
  </conditionalFormatting>
  <conditionalFormatting sqref="C30">
    <cfRule type="cellIs" dxfId="279" priority="3" operator="equal">
      <formula>IF($B$30&gt;$D$30,$C$30,)</formula>
    </cfRule>
  </conditionalFormatting>
  <conditionalFormatting sqref="C37">
    <cfRule type="cellIs" dxfId="278" priority="2" operator="equal">
      <formula>IF($B$37&lt;$D$37,$C$37,)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D134"/>
  <sheetViews>
    <sheetView topLeftCell="B1" zoomScale="90" zoomScaleNormal="90" workbookViewId="0">
      <selection activeCell="C5" sqref="C5:C22"/>
    </sheetView>
  </sheetViews>
  <sheetFormatPr defaultRowHeight="15" x14ac:dyDescent="0.25"/>
  <cols>
    <col min="3" max="3" width="8.140625" customWidth="1"/>
    <col min="5" max="6" width="8.5703125" customWidth="1"/>
    <col min="9" max="10" width="13" bestFit="1" customWidth="1"/>
    <col min="11" max="11" width="8.7109375" customWidth="1"/>
    <col min="13" max="13" width="11.42578125" bestFit="1" customWidth="1"/>
    <col min="14" max="14" width="9.5703125" customWidth="1"/>
    <col min="23" max="23" width="9.42578125" bestFit="1" customWidth="1"/>
  </cols>
  <sheetData>
    <row r="1" spans="2:11" x14ac:dyDescent="0.25">
      <c r="C1" s="343" t="s">
        <v>146</v>
      </c>
      <c r="D1" s="343"/>
      <c r="E1" s="343"/>
      <c r="F1" s="343"/>
      <c r="G1" s="343"/>
      <c r="H1" s="343"/>
      <c r="I1" s="343"/>
      <c r="J1" s="343"/>
      <c r="K1" s="343"/>
    </row>
    <row r="2" spans="2:11" x14ac:dyDescent="0.25">
      <c r="C2" s="343"/>
      <c r="D2" s="343"/>
      <c r="E2" s="343"/>
      <c r="F2" s="343"/>
      <c r="G2" s="343"/>
      <c r="H2" s="343"/>
      <c r="I2" s="343"/>
      <c r="J2" s="343"/>
      <c r="K2" s="343"/>
    </row>
    <row r="4" spans="2:11" ht="15.75" thickBot="1" x14ac:dyDescent="0.3"/>
    <row r="5" spans="2:11" ht="15.75" thickBot="1" x14ac:dyDescent="0.3">
      <c r="B5" s="156" t="s">
        <v>109</v>
      </c>
      <c r="C5" s="140"/>
      <c r="D5" s="139">
        <v>5</v>
      </c>
      <c r="E5" s="139">
        <v>30</v>
      </c>
    </row>
    <row r="6" spans="2:11" ht="15.75" thickBot="1" x14ac:dyDescent="0.3">
      <c r="B6" s="156" t="s">
        <v>110</v>
      </c>
      <c r="C6" s="140"/>
      <c r="D6" s="139">
        <v>5</v>
      </c>
      <c r="E6" s="139">
        <v>30</v>
      </c>
    </row>
    <row r="7" spans="2:11" ht="15.75" thickBot="1" x14ac:dyDescent="0.3">
      <c r="B7" s="156" t="s">
        <v>111</v>
      </c>
      <c r="C7" s="140"/>
      <c r="D7" s="139">
        <v>5</v>
      </c>
      <c r="E7" s="139">
        <v>30</v>
      </c>
    </row>
    <row r="8" spans="2:11" ht="15.75" thickBot="1" x14ac:dyDescent="0.3">
      <c r="B8" s="156" t="s">
        <v>147</v>
      </c>
      <c r="C8" s="140"/>
      <c r="D8" s="139">
        <v>5</v>
      </c>
      <c r="E8" s="139">
        <v>30</v>
      </c>
    </row>
    <row r="9" spans="2:11" ht="15.75" thickBot="1" x14ac:dyDescent="0.3">
      <c r="B9" s="156" t="s">
        <v>148</v>
      </c>
      <c r="C9" s="140"/>
      <c r="D9" s="139">
        <v>5</v>
      </c>
      <c r="E9" s="139">
        <v>30</v>
      </c>
    </row>
    <row r="10" spans="2:11" ht="15.75" thickBot="1" x14ac:dyDescent="0.3">
      <c r="B10" s="156" t="s">
        <v>149</v>
      </c>
      <c r="C10" s="140"/>
      <c r="D10" s="139">
        <v>5</v>
      </c>
      <c r="E10" s="139">
        <v>30</v>
      </c>
    </row>
    <row r="11" spans="2:11" ht="15.75" thickBot="1" x14ac:dyDescent="0.3">
      <c r="B11" s="156" t="s">
        <v>150</v>
      </c>
      <c r="C11" s="140"/>
      <c r="D11" s="139">
        <v>5</v>
      </c>
      <c r="E11" s="139">
        <v>30</v>
      </c>
    </row>
    <row r="12" spans="2:11" ht="15.75" thickBot="1" x14ac:dyDescent="0.3">
      <c r="B12" s="156" t="s">
        <v>151</v>
      </c>
      <c r="C12" s="140"/>
      <c r="D12" s="139">
        <v>5</v>
      </c>
      <c r="E12" s="139">
        <v>30</v>
      </c>
    </row>
    <row r="13" spans="2:11" ht="15.75" thickBot="1" x14ac:dyDescent="0.3">
      <c r="B13" s="156" t="s">
        <v>152</v>
      </c>
      <c r="C13" s="140"/>
      <c r="D13" s="139">
        <v>5</v>
      </c>
      <c r="E13" s="139">
        <v>30</v>
      </c>
    </row>
    <row r="14" spans="2:11" ht="15.75" thickBot="1" x14ac:dyDescent="0.3">
      <c r="B14" s="156" t="s">
        <v>153</v>
      </c>
      <c r="C14" s="140"/>
      <c r="D14" s="139">
        <v>5</v>
      </c>
      <c r="E14" s="139">
        <v>30</v>
      </c>
    </row>
    <row r="15" spans="2:11" ht="15.75" thickBot="1" x14ac:dyDescent="0.3">
      <c r="B15" s="157" t="s">
        <v>163</v>
      </c>
      <c r="C15" s="140"/>
      <c r="D15" s="59" t="e">
        <f>INDEX(MMULT(MINVERSE(I111:P118),T111:T118),1,1)</f>
        <v>#NUM!</v>
      </c>
      <c r="E15" s="216" t="e">
        <f>ABS((C15-D15)/C15)</f>
        <v>#NUM!</v>
      </c>
    </row>
    <row r="16" spans="2:11" ht="15.75" thickBot="1" x14ac:dyDescent="0.3">
      <c r="B16" s="157" t="s">
        <v>164</v>
      </c>
      <c r="C16" s="140"/>
      <c r="D16" s="59" t="e">
        <f>INDEX(MMULT(MINVERSE(I111:P118),T111:T118),2,1)</f>
        <v>#NUM!</v>
      </c>
      <c r="E16" s="216" t="e">
        <f t="shared" ref="E16:E21" si="0">ABS((C16-D16)/C16)</f>
        <v>#NUM!</v>
      </c>
    </row>
    <row r="17" spans="2:23" ht="15.75" thickBot="1" x14ac:dyDescent="0.3">
      <c r="B17" s="157" t="s">
        <v>165</v>
      </c>
      <c r="C17" s="140"/>
      <c r="D17" s="59" t="e">
        <f>INDEX(MMULT(MINVERSE(I111:P118),T111:T118),3,1)</f>
        <v>#NUM!</v>
      </c>
      <c r="E17" s="216" t="e">
        <f t="shared" si="0"/>
        <v>#NUM!</v>
      </c>
    </row>
    <row r="18" spans="2:23" ht="15.75" thickBot="1" x14ac:dyDescent="0.3">
      <c r="B18" s="157" t="s">
        <v>166</v>
      </c>
      <c r="C18" s="140"/>
      <c r="D18" t="e">
        <f>INDEX(MMULT(MINVERSE(I111:P118),T111:T118),4,1)</f>
        <v>#NUM!</v>
      </c>
      <c r="E18" s="216" t="e">
        <f t="shared" si="0"/>
        <v>#NUM!</v>
      </c>
    </row>
    <row r="19" spans="2:23" ht="15.75" thickBot="1" x14ac:dyDescent="0.3">
      <c r="B19" s="157" t="s">
        <v>167</v>
      </c>
      <c r="C19" s="140"/>
      <c r="D19" t="e">
        <f>INDEX(MMULT(MINVERSE(I111:P118),T111:T118),5,1)</f>
        <v>#NUM!</v>
      </c>
      <c r="E19" s="216" t="e">
        <f t="shared" si="0"/>
        <v>#NUM!</v>
      </c>
    </row>
    <row r="20" spans="2:23" ht="15.75" thickBot="1" x14ac:dyDescent="0.3">
      <c r="B20" s="157" t="s">
        <v>168</v>
      </c>
      <c r="C20" s="140"/>
      <c r="D20" t="e">
        <f>INDEX(MMULT(MINVERSE(I111:P118),T111:T118),6,1)</f>
        <v>#NUM!</v>
      </c>
      <c r="E20" s="216" t="e">
        <f t="shared" si="0"/>
        <v>#NUM!</v>
      </c>
    </row>
    <row r="21" spans="2:23" ht="15.75" thickBot="1" x14ac:dyDescent="0.3">
      <c r="B21" s="157" t="s">
        <v>169</v>
      </c>
      <c r="C21" s="140"/>
      <c r="D21" t="e">
        <f>INDEX(MMULT(MINVERSE(I111:P118),T111:T118),7,1)</f>
        <v>#NUM!</v>
      </c>
      <c r="E21" s="216" t="e">
        <f t="shared" si="0"/>
        <v>#NUM!</v>
      </c>
    </row>
    <row r="22" spans="2:23" ht="15.75" thickBot="1" x14ac:dyDescent="0.3">
      <c r="B22" s="157" t="s">
        <v>170</v>
      </c>
      <c r="C22" s="140"/>
      <c r="D22" t="e">
        <f>INDEX(MMULT(MINVERSE(I111:P118),T111:T118),8,1)</f>
        <v>#NUM!</v>
      </c>
      <c r="E22" s="215" t="e">
        <f>ABS((C22-D22)/C22)</f>
        <v>#NUM!</v>
      </c>
    </row>
    <row r="24" spans="2:23" ht="15.75" thickBot="1" x14ac:dyDescent="0.3"/>
    <row r="25" spans="2:23" ht="15.75" thickBot="1" x14ac:dyDescent="0.3">
      <c r="B25" s="158" t="s">
        <v>1</v>
      </c>
      <c r="C25" s="139">
        <f>2.54*360*0.01</f>
        <v>9.1440000000000001</v>
      </c>
    </row>
    <row r="26" spans="2:23" ht="15.75" thickBot="1" x14ac:dyDescent="0.3">
      <c r="B26" s="158" t="s">
        <v>5</v>
      </c>
      <c r="C26" s="139">
        <f>C25</f>
        <v>9.1440000000000001</v>
      </c>
    </row>
    <row r="29" spans="2:23" ht="15.75" thickBot="1" x14ac:dyDescent="0.3">
      <c r="O29" s="204">
        <f>ROUND(1/N30,2)</f>
        <v>0.6</v>
      </c>
    </row>
    <row r="30" spans="2:23" x14ac:dyDescent="0.25">
      <c r="B30" s="377" t="s">
        <v>112</v>
      </c>
      <c r="C30" s="333" t="s">
        <v>113</v>
      </c>
      <c r="D30" s="379" t="s">
        <v>114</v>
      </c>
      <c r="E30" s="379"/>
      <c r="F30" s="379" t="s">
        <v>115</v>
      </c>
      <c r="G30" s="379"/>
      <c r="H30" s="333" t="s">
        <v>47</v>
      </c>
      <c r="I30" s="333" t="s">
        <v>116</v>
      </c>
      <c r="J30" s="333" t="s">
        <v>117</v>
      </c>
      <c r="K30" s="333" t="s">
        <v>118</v>
      </c>
      <c r="L30" s="333" t="s">
        <v>119</v>
      </c>
      <c r="M30" s="151" t="s">
        <v>120</v>
      </c>
      <c r="N30" s="166">
        <v>1.667</v>
      </c>
      <c r="O30" s="335" t="s">
        <v>121</v>
      </c>
      <c r="Q30" s="147" t="s">
        <v>134</v>
      </c>
      <c r="R30" s="144" t="s">
        <v>135</v>
      </c>
      <c r="S30" s="144" t="s">
        <v>136</v>
      </c>
      <c r="T30" s="159" t="s">
        <v>137</v>
      </c>
      <c r="U30" s="151" t="s">
        <v>138</v>
      </c>
      <c r="V30" s="159" t="s">
        <v>139</v>
      </c>
      <c r="W30" s="148" t="s">
        <v>140</v>
      </c>
    </row>
    <row r="31" spans="2:23" x14ac:dyDescent="0.25">
      <c r="B31" s="378"/>
      <c r="C31" s="334"/>
      <c r="D31" s="163" t="s">
        <v>122</v>
      </c>
      <c r="E31" s="163" t="s">
        <v>123</v>
      </c>
      <c r="F31" s="163" t="s">
        <v>122</v>
      </c>
      <c r="G31" s="163" t="s">
        <v>123</v>
      </c>
      <c r="H31" s="334"/>
      <c r="I31" s="334"/>
      <c r="J31" s="334"/>
      <c r="K31" s="334"/>
      <c r="L31" s="334"/>
      <c r="M31" s="160" t="str">
        <f>O29&amp;J30</f>
        <v>0.6Fy</v>
      </c>
      <c r="N31" s="164"/>
      <c r="O31" s="336"/>
      <c r="Q31" s="126">
        <v>1</v>
      </c>
      <c r="R31" s="85">
        <f>2*C25</f>
        <v>18.288</v>
      </c>
      <c r="S31" s="85">
        <f>C26</f>
        <v>9.1440000000000001</v>
      </c>
      <c r="T31" s="124">
        <v>0</v>
      </c>
      <c r="U31" s="124">
        <v>0</v>
      </c>
      <c r="V31" s="194">
        <f>C21</f>
        <v>0</v>
      </c>
      <c r="W31" s="195">
        <f>C22</f>
        <v>0</v>
      </c>
    </row>
    <row r="32" spans="2:23" x14ac:dyDescent="0.25">
      <c r="B32" s="149">
        <v>1</v>
      </c>
      <c r="C32" s="111">
        <f>C25</f>
        <v>9.1440000000000001</v>
      </c>
      <c r="D32" s="85">
        <v>0</v>
      </c>
      <c r="E32" s="85">
        <v>3</v>
      </c>
      <c r="F32" s="85">
        <f>C32</f>
        <v>9.1440000000000001</v>
      </c>
      <c r="G32" s="85">
        <v>3</v>
      </c>
      <c r="H32" s="161">
        <f t="shared" ref="H32:H41" si="1">C5</f>
        <v>0</v>
      </c>
      <c r="I32" s="86">
        <v>2100000</v>
      </c>
      <c r="J32" s="86">
        <v>2400</v>
      </c>
      <c r="K32" s="85">
        <f>O46</f>
        <v>0</v>
      </c>
      <c r="L32" s="194" t="e">
        <f>ABS(H46*M45+I46*M46+J46*M47+K46*M48)/C5</f>
        <v>#DIV/0!</v>
      </c>
      <c r="M32" s="194">
        <f>J32*(1/$N$30)</f>
        <v>1439.7120575884821</v>
      </c>
      <c r="N32" s="85" t="e">
        <f>IF(L32&gt;M32,"over stress","")</f>
        <v>#DIV/0!</v>
      </c>
      <c r="O32" s="89" t="e">
        <f>ROUND(L32/M32,2)</f>
        <v>#DIV/0!</v>
      </c>
      <c r="Q32" s="126">
        <v>2</v>
      </c>
      <c r="R32" s="85">
        <f>R31</f>
        <v>18.288</v>
      </c>
      <c r="S32" s="85">
        <v>0</v>
      </c>
      <c r="T32" s="124">
        <v>0</v>
      </c>
      <c r="U32" s="124">
        <v>-5</v>
      </c>
      <c r="V32" s="194">
        <f>C19</f>
        <v>0</v>
      </c>
      <c r="W32" s="195">
        <f>C20</f>
        <v>0</v>
      </c>
    </row>
    <row r="33" spans="1:30" x14ac:dyDescent="0.25">
      <c r="B33" s="149">
        <v>2</v>
      </c>
      <c r="C33" s="168">
        <f>C25</f>
        <v>9.1440000000000001</v>
      </c>
      <c r="D33" s="85">
        <f>C32</f>
        <v>9.1440000000000001</v>
      </c>
      <c r="E33" s="85">
        <f>C26</f>
        <v>9.1440000000000001</v>
      </c>
      <c r="F33" s="85">
        <f>2*C25</f>
        <v>18.288</v>
      </c>
      <c r="G33" s="85">
        <f>C26</f>
        <v>9.1440000000000001</v>
      </c>
      <c r="H33" s="161">
        <f t="shared" si="1"/>
        <v>0</v>
      </c>
      <c r="I33" s="86">
        <v>2100000</v>
      </c>
      <c r="J33" s="86">
        <v>2400</v>
      </c>
      <c r="K33" s="85">
        <f>O52</f>
        <v>0</v>
      </c>
      <c r="L33" s="194" t="e">
        <f>ABS(H52*M51+I52*M52+J52*M53+K52*M54)/C6</f>
        <v>#DIV/0!</v>
      </c>
      <c r="M33" s="194">
        <f>J33*(1/$N$30)</f>
        <v>1439.7120575884821</v>
      </c>
      <c r="N33" s="85" t="e">
        <f t="shared" ref="N33:N40" si="2">IF(L33&gt;M33,"over stress","")</f>
        <v>#DIV/0!</v>
      </c>
      <c r="O33" s="89" t="e">
        <f t="shared" ref="O33:O40" si="3">ROUND(L33/M33,2)</f>
        <v>#DIV/0!</v>
      </c>
      <c r="Q33" s="126">
        <v>3</v>
      </c>
      <c r="R33" s="85">
        <f>C25</f>
        <v>9.1440000000000001</v>
      </c>
      <c r="S33" s="85">
        <f>C26</f>
        <v>9.1440000000000001</v>
      </c>
      <c r="T33" s="124">
        <v>0</v>
      </c>
      <c r="U33" s="124">
        <v>0</v>
      </c>
      <c r="V33" s="194">
        <f>C17</f>
        <v>0</v>
      </c>
      <c r="W33" s="195">
        <f>C18</f>
        <v>0</v>
      </c>
    </row>
    <row r="34" spans="1:30" ht="15.75" thickBot="1" x14ac:dyDescent="0.3">
      <c r="B34" s="149">
        <v>3</v>
      </c>
      <c r="C34" s="168">
        <f>C25</f>
        <v>9.1440000000000001</v>
      </c>
      <c r="D34" s="85">
        <v>0</v>
      </c>
      <c r="E34" s="85">
        <v>0</v>
      </c>
      <c r="F34" s="85">
        <f>C25</f>
        <v>9.1440000000000001</v>
      </c>
      <c r="G34" s="85">
        <v>0</v>
      </c>
      <c r="H34" s="161">
        <f t="shared" si="1"/>
        <v>0</v>
      </c>
      <c r="I34" s="86">
        <v>2100000</v>
      </c>
      <c r="J34" s="86">
        <v>2400</v>
      </c>
      <c r="K34" s="85">
        <f>O58</f>
        <v>0</v>
      </c>
      <c r="L34" s="194" t="e">
        <f>ABS(H58*M57+I58*M58+J58*M59+K58*M60)/C7</f>
        <v>#DIV/0!</v>
      </c>
      <c r="M34" s="194">
        <f>J34*(1/$N$30)</f>
        <v>1439.7120575884821</v>
      </c>
      <c r="N34" s="165" t="e">
        <f t="shared" si="2"/>
        <v>#DIV/0!</v>
      </c>
      <c r="O34" s="89" t="e">
        <f t="shared" si="3"/>
        <v>#DIV/0!</v>
      </c>
      <c r="Q34" s="196">
        <v>4</v>
      </c>
      <c r="R34" s="197">
        <f>C25</f>
        <v>9.1440000000000001</v>
      </c>
      <c r="S34" s="197">
        <v>0</v>
      </c>
      <c r="T34" s="214">
        <v>0</v>
      </c>
      <c r="U34" s="214">
        <v>-5</v>
      </c>
      <c r="V34" s="199">
        <f>C15</f>
        <v>0</v>
      </c>
      <c r="W34" s="198">
        <f>C16</f>
        <v>0</v>
      </c>
    </row>
    <row r="35" spans="1:30" x14ac:dyDescent="0.25">
      <c r="B35" s="149">
        <v>4</v>
      </c>
      <c r="C35" s="168">
        <f>C25</f>
        <v>9.1440000000000001</v>
      </c>
      <c r="D35" s="85">
        <f>C25</f>
        <v>9.1440000000000001</v>
      </c>
      <c r="E35" s="85">
        <v>0</v>
      </c>
      <c r="F35" s="85">
        <f>2*C25</f>
        <v>18.288</v>
      </c>
      <c r="G35" s="85">
        <v>0</v>
      </c>
      <c r="H35" s="161">
        <f t="shared" si="1"/>
        <v>0</v>
      </c>
      <c r="I35" s="86">
        <v>2100000</v>
      </c>
      <c r="J35" s="86">
        <v>2400</v>
      </c>
      <c r="K35" s="85">
        <f>O64</f>
        <v>0</v>
      </c>
      <c r="L35" s="194" t="e">
        <f>ABS(H64*M63+I64*M64+J64*M65+K64*M66)/C8</f>
        <v>#DIV/0!</v>
      </c>
      <c r="M35" s="194">
        <f t="shared" ref="M35:M40" si="4">J35*(1/$N$30)</f>
        <v>1439.7120575884821</v>
      </c>
      <c r="N35" s="165" t="e">
        <f t="shared" si="2"/>
        <v>#DIV/0!</v>
      </c>
      <c r="O35" s="89" t="e">
        <f t="shared" si="3"/>
        <v>#DIV/0!</v>
      </c>
      <c r="Q35" s="59"/>
      <c r="R35" s="59"/>
      <c r="S35" s="59"/>
      <c r="T35" s="59"/>
      <c r="U35" s="59"/>
      <c r="V35" s="59"/>
      <c r="W35" s="59"/>
      <c r="X35" s="59"/>
    </row>
    <row r="36" spans="1:30" x14ac:dyDescent="0.25">
      <c r="B36" s="149">
        <v>5</v>
      </c>
      <c r="C36" s="168">
        <f>C26</f>
        <v>9.1440000000000001</v>
      </c>
      <c r="D36" s="85">
        <f>C25</f>
        <v>9.1440000000000001</v>
      </c>
      <c r="E36" s="85">
        <v>0</v>
      </c>
      <c r="F36" s="85">
        <f>C25</f>
        <v>9.1440000000000001</v>
      </c>
      <c r="G36" s="85">
        <f>C26</f>
        <v>9.1440000000000001</v>
      </c>
      <c r="H36" s="161">
        <f t="shared" si="1"/>
        <v>0</v>
      </c>
      <c r="I36" s="86">
        <v>2100000</v>
      </c>
      <c r="J36" s="86">
        <v>2400</v>
      </c>
      <c r="K36" s="85">
        <f>O70</f>
        <v>0</v>
      </c>
      <c r="L36" s="194" t="e">
        <f>ABS(H70*M69+I70*M70+J70*M71+K70*M72)/C9</f>
        <v>#DIV/0!</v>
      </c>
      <c r="M36" s="194">
        <f t="shared" si="4"/>
        <v>1439.7120575884821</v>
      </c>
      <c r="N36" s="165" t="e">
        <f t="shared" si="2"/>
        <v>#DIV/0!</v>
      </c>
      <c r="O36" s="89" t="e">
        <f t="shared" si="3"/>
        <v>#DIV/0!</v>
      </c>
      <c r="Q36" s="59"/>
      <c r="R36" s="59"/>
      <c r="S36" s="59"/>
      <c r="T36" s="59"/>
      <c r="U36" s="59"/>
      <c r="V36" s="59"/>
      <c r="W36" s="59"/>
      <c r="X36" s="59"/>
    </row>
    <row r="37" spans="1:30" x14ac:dyDescent="0.25">
      <c r="B37" s="149">
        <v>6</v>
      </c>
      <c r="C37" s="168">
        <f>C26</f>
        <v>9.1440000000000001</v>
      </c>
      <c r="D37" s="85">
        <f>2*C25</f>
        <v>18.288</v>
      </c>
      <c r="E37" s="85">
        <v>0</v>
      </c>
      <c r="F37" s="85">
        <f>2*C25</f>
        <v>18.288</v>
      </c>
      <c r="G37" s="85">
        <f>C26</f>
        <v>9.1440000000000001</v>
      </c>
      <c r="H37" s="161">
        <f t="shared" si="1"/>
        <v>0</v>
      </c>
      <c r="I37" s="86">
        <v>2100000</v>
      </c>
      <c r="J37" s="86">
        <v>2400</v>
      </c>
      <c r="K37" s="85">
        <f>O76</f>
        <v>0</v>
      </c>
      <c r="L37" s="194" t="e">
        <f>ABS(H76*M75+I76*M76+J76*M77+K76*M78)/C10</f>
        <v>#DIV/0!</v>
      </c>
      <c r="M37" s="194">
        <f t="shared" si="4"/>
        <v>1439.7120575884821</v>
      </c>
      <c r="N37" s="165" t="e">
        <f t="shared" si="2"/>
        <v>#DIV/0!</v>
      </c>
      <c r="O37" s="89" t="e">
        <f t="shared" si="3"/>
        <v>#DIV/0!</v>
      </c>
      <c r="Q37" s="59"/>
      <c r="R37" s="59"/>
      <c r="S37" s="59"/>
      <c r="T37" s="59"/>
      <c r="U37" s="59"/>
      <c r="V37" s="59"/>
      <c r="W37" s="59"/>
      <c r="X37" s="59"/>
    </row>
    <row r="38" spans="1:30" x14ac:dyDescent="0.25">
      <c r="B38" s="149">
        <v>7</v>
      </c>
      <c r="C38" s="168">
        <f>SQRT(C25^2+C26^2)</f>
        <v>12.931568814339581</v>
      </c>
      <c r="D38" s="85">
        <f>C25</f>
        <v>9.1440000000000001</v>
      </c>
      <c r="E38" s="85">
        <v>0</v>
      </c>
      <c r="F38" s="85">
        <v>0</v>
      </c>
      <c r="G38" s="85">
        <f>C26</f>
        <v>9.1440000000000001</v>
      </c>
      <c r="H38" s="161">
        <f t="shared" si="1"/>
        <v>0</v>
      </c>
      <c r="I38" s="86">
        <v>2100000</v>
      </c>
      <c r="J38" s="86">
        <v>2400</v>
      </c>
      <c r="K38" s="85">
        <f>O82</f>
        <v>0</v>
      </c>
      <c r="L38" s="194" t="e">
        <f>ABS(H82*M81+I82*M82+J82*M83+K82*M84)/C11</f>
        <v>#DIV/0!</v>
      </c>
      <c r="M38" s="194">
        <f t="shared" si="4"/>
        <v>1439.7120575884821</v>
      </c>
      <c r="N38" s="165" t="e">
        <f t="shared" si="2"/>
        <v>#DIV/0!</v>
      </c>
      <c r="O38" s="89" t="e">
        <f t="shared" si="3"/>
        <v>#DIV/0!</v>
      </c>
      <c r="Q38" s="59"/>
      <c r="R38" s="59"/>
      <c r="S38" s="59"/>
      <c r="T38" s="59"/>
      <c r="U38" s="59"/>
      <c r="V38" s="59"/>
      <c r="W38" s="59"/>
      <c r="X38" s="59"/>
    </row>
    <row r="39" spans="1:30" x14ac:dyDescent="0.25">
      <c r="B39" s="149">
        <v>8</v>
      </c>
      <c r="C39" s="168">
        <f>C38</f>
        <v>12.931568814339581</v>
      </c>
      <c r="D39" s="85">
        <v>0</v>
      </c>
      <c r="E39" s="85">
        <v>0</v>
      </c>
      <c r="F39" s="85">
        <f>C25</f>
        <v>9.1440000000000001</v>
      </c>
      <c r="G39" s="85">
        <f>C26</f>
        <v>9.1440000000000001</v>
      </c>
      <c r="H39" s="161">
        <f t="shared" si="1"/>
        <v>0</v>
      </c>
      <c r="I39" s="86">
        <v>2100000</v>
      </c>
      <c r="J39" s="86">
        <v>2400</v>
      </c>
      <c r="K39" s="85">
        <f>O88</f>
        <v>0</v>
      </c>
      <c r="L39" s="194" t="e">
        <f>ABS(H88*M87+I88*M88+J88*M89+K88*M90)/C12</f>
        <v>#DIV/0!</v>
      </c>
      <c r="M39" s="194">
        <f t="shared" si="4"/>
        <v>1439.7120575884821</v>
      </c>
      <c r="N39" s="165" t="e">
        <f t="shared" si="2"/>
        <v>#DIV/0!</v>
      </c>
      <c r="O39" s="89" t="e">
        <f t="shared" si="3"/>
        <v>#DIV/0!</v>
      </c>
      <c r="Q39" s="59"/>
      <c r="R39" s="59"/>
      <c r="S39" s="59"/>
      <c r="T39" s="59"/>
      <c r="U39" s="59"/>
      <c r="V39" s="59"/>
      <c r="W39" s="59"/>
      <c r="X39" s="59"/>
    </row>
    <row r="40" spans="1:30" x14ac:dyDescent="0.25">
      <c r="B40" s="149">
        <v>9</v>
      </c>
      <c r="C40" s="168">
        <f>C39</f>
        <v>12.931568814339581</v>
      </c>
      <c r="D40" s="85">
        <f>2*C25</f>
        <v>18.288</v>
      </c>
      <c r="E40" s="85">
        <v>0</v>
      </c>
      <c r="F40" s="85">
        <f>C25</f>
        <v>9.1440000000000001</v>
      </c>
      <c r="G40" s="85">
        <f>C26</f>
        <v>9.1440000000000001</v>
      </c>
      <c r="H40" s="161">
        <f t="shared" si="1"/>
        <v>0</v>
      </c>
      <c r="I40" s="86">
        <v>2100000</v>
      </c>
      <c r="J40" s="86">
        <v>2400</v>
      </c>
      <c r="K40" s="85">
        <f>O94</f>
        <v>0</v>
      </c>
      <c r="L40" s="194" t="e">
        <f>ABS(H94*M93+I94*M94+J94*M95+K94*M96)/C13</f>
        <v>#DIV/0!</v>
      </c>
      <c r="M40" s="194">
        <f t="shared" si="4"/>
        <v>1439.7120575884821</v>
      </c>
      <c r="N40" s="165" t="e">
        <f t="shared" si="2"/>
        <v>#DIV/0!</v>
      </c>
      <c r="O40" s="89" t="e">
        <f t="shared" si="3"/>
        <v>#DIV/0!</v>
      </c>
      <c r="Q40" s="59"/>
      <c r="R40" s="59"/>
      <c r="S40" s="59"/>
      <c r="T40" s="59"/>
      <c r="U40" s="59"/>
      <c r="V40" s="59"/>
      <c r="W40" s="59"/>
      <c r="X40" s="59"/>
    </row>
    <row r="41" spans="1:30" ht="15.75" thickBot="1" x14ac:dyDescent="0.3">
      <c r="B41" s="150">
        <v>10</v>
      </c>
      <c r="C41" s="169">
        <f>C40</f>
        <v>12.931568814339581</v>
      </c>
      <c r="D41" s="129">
        <f>C25</f>
        <v>9.1440000000000001</v>
      </c>
      <c r="E41" s="129">
        <v>0</v>
      </c>
      <c r="F41" s="129">
        <f>2*C25</f>
        <v>18.288</v>
      </c>
      <c r="G41" s="129">
        <f>C26</f>
        <v>9.1440000000000001</v>
      </c>
      <c r="H41" s="162">
        <f t="shared" si="1"/>
        <v>0</v>
      </c>
      <c r="I41" s="135">
        <v>2100000</v>
      </c>
      <c r="J41" s="135">
        <v>2400</v>
      </c>
      <c r="K41" s="129">
        <f>O100</f>
        <v>0</v>
      </c>
      <c r="L41" s="206" t="e">
        <f>ABS(H100*M99+I100*M100+J100*M101+K100*M102)/C14</f>
        <v>#DIV/0!</v>
      </c>
      <c r="M41" s="206">
        <f>J41*(1/$N$30)</f>
        <v>1439.7120575884821</v>
      </c>
      <c r="N41" s="167" t="e">
        <f>IF(L41&gt;M41,"over stress","")</f>
        <v>#DIV/0!</v>
      </c>
      <c r="O41" s="138" t="e">
        <f>ROUND(L41/M41,2)</f>
        <v>#DIV/0!</v>
      </c>
    </row>
    <row r="42" spans="1:30" x14ac:dyDescent="0.25">
      <c r="B42" s="117"/>
      <c r="C42" s="118"/>
      <c r="D42" s="115"/>
      <c r="E42" s="115"/>
      <c r="F42" s="115"/>
      <c r="G42" s="115"/>
      <c r="H42" s="119"/>
      <c r="I42" s="119"/>
      <c r="J42" s="119"/>
      <c r="K42" s="115"/>
      <c r="L42" s="115"/>
      <c r="M42" s="115"/>
      <c r="N42" s="115"/>
      <c r="O42" s="115"/>
    </row>
    <row r="43" spans="1:30" ht="15.75" thickBot="1" x14ac:dyDescent="0.3">
      <c r="A43">
        <v>3</v>
      </c>
      <c r="B43" s="117">
        <v>4</v>
      </c>
      <c r="C43">
        <v>7</v>
      </c>
      <c r="D43">
        <v>8</v>
      </c>
      <c r="F43" s="59"/>
    </row>
    <row r="44" spans="1:30" s="175" customFormat="1" x14ac:dyDescent="0.25">
      <c r="A44" s="170" t="s">
        <v>124</v>
      </c>
      <c r="B44" s="171">
        <f>(F32-D32)/C32</f>
        <v>1</v>
      </c>
      <c r="C44" s="172" t="s">
        <v>125</v>
      </c>
      <c r="D44" s="171">
        <f>(G32-E32)/C32</f>
        <v>0</v>
      </c>
      <c r="E44" s="173">
        <f>(C5*I32)/(C32*100)</f>
        <v>0</v>
      </c>
      <c r="F44" s="174"/>
      <c r="G44" s="174"/>
      <c r="H44" s="174"/>
      <c r="I44" s="174"/>
      <c r="J44" s="174"/>
      <c r="K44" s="174"/>
      <c r="L44" s="174"/>
      <c r="M44" s="174"/>
      <c r="N44" s="117"/>
      <c r="O44" s="174"/>
      <c r="AA44" s="175">
        <f>A43</f>
        <v>3</v>
      </c>
      <c r="AB44" s="175">
        <f>B43</f>
        <v>4</v>
      </c>
      <c r="AC44" s="175">
        <f>C43</f>
        <v>7</v>
      </c>
      <c r="AD44" s="175">
        <f>D43</f>
        <v>8</v>
      </c>
    </row>
    <row r="45" spans="1:30" s="175" customFormat="1" x14ac:dyDescent="0.25">
      <c r="A45" s="176">
        <f>E44*(B44^2)</f>
        <v>0</v>
      </c>
      <c r="B45" s="115">
        <f>E44*D44*B44</f>
        <v>0</v>
      </c>
      <c r="C45" s="115">
        <f>-A45</f>
        <v>0</v>
      </c>
      <c r="D45" s="115">
        <f>-B44*D44*E44</f>
        <v>0</v>
      </c>
      <c r="E45" s="177"/>
      <c r="F45" s="178">
        <v>3</v>
      </c>
      <c r="G45" s="174"/>
      <c r="H45" s="179">
        <f>A43</f>
        <v>3</v>
      </c>
      <c r="I45" s="179">
        <f>B43</f>
        <v>4</v>
      </c>
      <c r="J45" s="179">
        <f>C43</f>
        <v>7</v>
      </c>
      <c r="K45" s="179">
        <f>D43</f>
        <v>8</v>
      </c>
      <c r="L45" s="177"/>
      <c r="M45" s="180">
        <v>0</v>
      </c>
      <c r="N45" s="181"/>
      <c r="O45" s="174"/>
      <c r="Z45" s="175">
        <f>F45</f>
        <v>3</v>
      </c>
      <c r="AA45" s="175">
        <f>$Z$45*100+AA44</f>
        <v>303</v>
      </c>
      <c r="AB45" s="175">
        <f>$Z$45*100+AB44</f>
        <v>304</v>
      </c>
      <c r="AC45" s="175">
        <f>$Z$45*100+AC44</f>
        <v>307</v>
      </c>
      <c r="AD45" s="175">
        <f>$Z$45*100+AD44</f>
        <v>308</v>
      </c>
    </row>
    <row r="46" spans="1:30" s="175" customFormat="1" ht="15.75" x14ac:dyDescent="0.25">
      <c r="A46" s="176">
        <f>E44*B44*D44</f>
        <v>0</v>
      </c>
      <c r="B46" s="115">
        <f>E44*(D44^2)</f>
        <v>0</v>
      </c>
      <c r="C46" s="115">
        <f>-B44*D44*E44</f>
        <v>0</v>
      </c>
      <c r="D46" s="115">
        <f>-(D44^2)*E44</f>
        <v>0</v>
      </c>
      <c r="E46" s="177">
        <v>1</v>
      </c>
      <c r="F46" s="178">
        <v>4</v>
      </c>
      <c r="G46" s="182" t="s">
        <v>126</v>
      </c>
      <c r="H46" s="179">
        <f>-((C5*I32)/(C32*100))*(B44^2)</f>
        <v>0</v>
      </c>
      <c r="I46" s="179">
        <v>0</v>
      </c>
      <c r="J46" s="179">
        <f>B44*((C5*I32)/(C32*100))*(B44^2)</f>
        <v>0</v>
      </c>
      <c r="K46" s="183">
        <f>D44*E44</f>
        <v>0</v>
      </c>
      <c r="L46" s="177"/>
      <c r="M46" s="180">
        <v>0</v>
      </c>
      <c r="N46" s="184" t="s">
        <v>127</v>
      </c>
      <c r="O46" s="185">
        <f>INDEX(MMULT(H46:K46,M45:M48),1,1)</f>
        <v>0</v>
      </c>
      <c r="R46" s="116"/>
      <c r="Z46" s="175">
        <f>F46</f>
        <v>4</v>
      </c>
      <c r="AA46" s="175">
        <f>$Z$46*100+AA44</f>
        <v>403</v>
      </c>
      <c r="AB46" s="175">
        <f>$Z$46*100+AB44</f>
        <v>404</v>
      </c>
      <c r="AC46" s="175">
        <f>$Z$46*100+AC44</f>
        <v>407</v>
      </c>
      <c r="AD46" s="175">
        <f>$Z$46*100+AD44</f>
        <v>408</v>
      </c>
    </row>
    <row r="47" spans="1:30" s="175" customFormat="1" x14ac:dyDescent="0.25">
      <c r="A47" s="176">
        <f>-(B44^2)*E44</f>
        <v>0</v>
      </c>
      <c r="B47" s="115">
        <f>-B44*D44*E44</f>
        <v>0</v>
      </c>
      <c r="C47" s="115">
        <f>E44*(B44^2)</f>
        <v>0</v>
      </c>
      <c r="D47" s="115">
        <f>B44*D44*E44</f>
        <v>0</v>
      </c>
      <c r="E47" s="177"/>
      <c r="F47" s="178">
        <v>7</v>
      </c>
      <c r="G47" s="174"/>
      <c r="H47" s="174"/>
      <c r="I47" s="174"/>
      <c r="J47" s="174"/>
      <c r="K47" s="174"/>
      <c r="L47" s="177"/>
      <c r="M47" s="207">
        <f>C17</f>
        <v>0</v>
      </c>
      <c r="N47" s="181"/>
      <c r="O47" s="115"/>
      <c r="R47" s="116"/>
      <c r="Z47" s="175">
        <f>F47</f>
        <v>7</v>
      </c>
      <c r="AA47" s="175">
        <f>$Z$47*100+AA44</f>
        <v>703</v>
      </c>
      <c r="AB47" s="175">
        <f>$Z$47*100+AB44</f>
        <v>704</v>
      </c>
      <c r="AC47" s="175">
        <f>$Z$47*100+AC44</f>
        <v>707</v>
      </c>
      <c r="AD47" s="175">
        <f>$Z$47*100+AD44</f>
        <v>708</v>
      </c>
    </row>
    <row r="48" spans="1:30" s="175" customFormat="1" ht="15.75" thickBot="1" x14ac:dyDescent="0.3">
      <c r="A48" s="186">
        <f>-B44*D44*E44</f>
        <v>0</v>
      </c>
      <c r="B48" s="187">
        <f>-(D44^2)*E44</f>
        <v>0</v>
      </c>
      <c r="C48" s="187">
        <f>B44*D44*E44</f>
        <v>0</v>
      </c>
      <c r="D48" s="187">
        <f>E44*(D44^2)</f>
        <v>0</v>
      </c>
      <c r="E48" s="188"/>
      <c r="F48" s="178">
        <v>8</v>
      </c>
      <c r="G48" s="174"/>
      <c r="H48" s="174"/>
      <c r="I48" s="174"/>
      <c r="J48" s="174"/>
      <c r="K48" s="174"/>
      <c r="L48" s="177"/>
      <c r="M48" s="207">
        <f>C18</f>
        <v>0</v>
      </c>
      <c r="N48" s="181"/>
      <c r="O48" s="115"/>
      <c r="R48" s="116"/>
      <c r="Z48" s="175">
        <f>F48</f>
        <v>8</v>
      </c>
      <c r="AA48" s="175">
        <f>$Z$48*100+AA44</f>
        <v>803</v>
      </c>
      <c r="AB48" s="175">
        <f>$Z$48*100+AB44</f>
        <v>804</v>
      </c>
      <c r="AC48" s="175">
        <f>$Z$48*100+AC44</f>
        <v>807</v>
      </c>
      <c r="AD48" s="175">
        <f>$Z$48*100+AD44</f>
        <v>808</v>
      </c>
    </row>
    <row r="49" spans="1:30" s="175" customFormat="1" ht="15.75" thickBot="1" x14ac:dyDescent="0.3">
      <c r="A49" s="175">
        <v>7</v>
      </c>
      <c r="B49" s="175">
        <v>8</v>
      </c>
      <c r="C49" s="175">
        <v>11</v>
      </c>
      <c r="D49" s="175">
        <v>12</v>
      </c>
    </row>
    <row r="50" spans="1:30" s="175" customFormat="1" x14ac:dyDescent="0.25">
      <c r="A50" s="170" t="s">
        <v>124</v>
      </c>
      <c r="B50" s="171">
        <f>(F33-D33)/C33</f>
        <v>1</v>
      </c>
      <c r="C50" s="172" t="s">
        <v>125</v>
      </c>
      <c r="D50" s="171">
        <f>(G33-E33)/C33</f>
        <v>0</v>
      </c>
      <c r="E50" s="173">
        <f>(I33*C6)/(C33*100)</f>
        <v>0</v>
      </c>
      <c r="F50" s="174"/>
      <c r="G50" s="174"/>
      <c r="H50" s="174"/>
      <c r="I50" s="174"/>
      <c r="J50" s="174"/>
      <c r="K50" s="174"/>
      <c r="L50" s="174"/>
      <c r="M50" s="174"/>
      <c r="N50" s="117"/>
      <c r="O50" s="174"/>
      <c r="AA50" s="175">
        <f>A49</f>
        <v>7</v>
      </c>
      <c r="AB50" s="175">
        <f>B49</f>
        <v>8</v>
      </c>
      <c r="AC50" s="175">
        <f>C49</f>
        <v>11</v>
      </c>
      <c r="AD50" s="175">
        <f>D49</f>
        <v>12</v>
      </c>
    </row>
    <row r="51" spans="1:30" s="175" customFormat="1" x14ac:dyDescent="0.25">
      <c r="A51" s="176">
        <f>E50*(B50^2)</f>
        <v>0</v>
      </c>
      <c r="B51" s="115">
        <f>E50*D50*B50</f>
        <v>0</v>
      </c>
      <c r="C51" s="115">
        <f>-A51</f>
        <v>0</v>
      </c>
      <c r="D51" s="115">
        <f>-B50*D50*E50</f>
        <v>0</v>
      </c>
      <c r="E51" s="177"/>
      <c r="F51" s="178">
        <v>7</v>
      </c>
      <c r="G51" s="174"/>
      <c r="H51" s="179">
        <f>A49</f>
        <v>7</v>
      </c>
      <c r="I51" s="179">
        <f>B49</f>
        <v>8</v>
      </c>
      <c r="J51" s="179">
        <f>C49</f>
        <v>11</v>
      </c>
      <c r="K51" s="179">
        <f>D49</f>
        <v>12</v>
      </c>
      <c r="L51" s="177"/>
      <c r="M51" s="207">
        <f>C17</f>
        <v>0</v>
      </c>
      <c r="N51" s="181"/>
      <c r="O51" s="174"/>
      <c r="Z51" s="175">
        <f>F51</f>
        <v>7</v>
      </c>
      <c r="AA51" s="175">
        <f>$Z$51*100+AA50</f>
        <v>707</v>
      </c>
      <c r="AB51" s="175">
        <f>$Z$51*100+AB50</f>
        <v>708</v>
      </c>
      <c r="AC51" s="175">
        <f>$Z$51*100+AC50</f>
        <v>711</v>
      </c>
      <c r="AD51" s="175">
        <f>$Z$51*100+AD50</f>
        <v>712</v>
      </c>
    </row>
    <row r="52" spans="1:30" s="175" customFormat="1" ht="15.75" x14ac:dyDescent="0.25">
      <c r="A52" s="176">
        <f>E50*B50*D50</f>
        <v>0</v>
      </c>
      <c r="B52" s="115">
        <f>E50*(D50^2)</f>
        <v>0</v>
      </c>
      <c r="C52" s="115">
        <f>-B50*D50*E50</f>
        <v>0</v>
      </c>
      <c r="D52" s="115">
        <f>-(D50^2)*E50</f>
        <v>0</v>
      </c>
      <c r="E52" s="177">
        <v>2</v>
      </c>
      <c r="F52" s="178">
        <v>8</v>
      </c>
      <c r="G52" s="182" t="s">
        <v>154</v>
      </c>
      <c r="H52" s="179">
        <f>-B50*((I33*C6)/(C33*100))</f>
        <v>0</v>
      </c>
      <c r="I52" s="179">
        <f>-D50*((I33*C6)/(C33*100))</f>
        <v>0</v>
      </c>
      <c r="J52" s="179">
        <f>B50*((I33*C6)/(C33*100))</f>
        <v>0</v>
      </c>
      <c r="K52" s="183">
        <f>D50*((I33*C6)/(C33*100))</f>
        <v>0</v>
      </c>
      <c r="L52" s="177"/>
      <c r="M52" s="207">
        <f>C18</f>
        <v>0</v>
      </c>
      <c r="N52" s="184" t="s">
        <v>127</v>
      </c>
      <c r="O52" s="185">
        <f>INDEX(MMULT(H52:K52,M51:M54),1,1)</f>
        <v>0</v>
      </c>
      <c r="Z52" s="175">
        <f>F52</f>
        <v>8</v>
      </c>
      <c r="AA52" s="175">
        <f>$Z$52*100+AA50</f>
        <v>807</v>
      </c>
      <c r="AB52" s="175">
        <f>$Z$52*100+AB50</f>
        <v>808</v>
      </c>
      <c r="AC52" s="175">
        <f>$Z$52*100+AC50</f>
        <v>811</v>
      </c>
      <c r="AD52" s="175">
        <f>$Z$52*100+AD50</f>
        <v>812</v>
      </c>
    </row>
    <row r="53" spans="1:30" s="175" customFormat="1" x14ac:dyDescent="0.25">
      <c r="A53" s="176">
        <f>-(B50^2)*E50</f>
        <v>0</v>
      </c>
      <c r="B53" s="115">
        <f>-B50*D50*E50</f>
        <v>0</v>
      </c>
      <c r="C53" s="115">
        <f>E50*(B50^2)</f>
        <v>0</v>
      </c>
      <c r="D53" s="115">
        <f>B50*D50*E50</f>
        <v>0</v>
      </c>
      <c r="E53" s="177"/>
      <c r="F53" s="178">
        <v>11</v>
      </c>
      <c r="G53" s="174"/>
      <c r="H53" s="174"/>
      <c r="I53" s="174"/>
      <c r="J53" s="174"/>
      <c r="K53" s="174"/>
      <c r="L53" s="177"/>
      <c r="M53" s="207">
        <f>C21</f>
        <v>0</v>
      </c>
      <c r="N53" s="181"/>
      <c r="O53" s="115"/>
      <c r="Z53" s="175">
        <f>F53</f>
        <v>11</v>
      </c>
      <c r="AA53" s="175">
        <f>$Z$53*100+AA50</f>
        <v>1107</v>
      </c>
      <c r="AB53" s="175">
        <f>$Z$53*100+AB50</f>
        <v>1108</v>
      </c>
      <c r="AC53" s="175">
        <f>$Z$53*100+AC50</f>
        <v>1111</v>
      </c>
      <c r="AD53" s="175">
        <f>$Z$53*100+AD50</f>
        <v>1112</v>
      </c>
    </row>
    <row r="54" spans="1:30" s="175" customFormat="1" ht="15.75" thickBot="1" x14ac:dyDescent="0.3">
      <c r="A54" s="186">
        <f>-B50*D50*E50</f>
        <v>0</v>
      </c>
      <c r="B54" s="187">
        <f>-(D50^2)*E50</f>
        <v>0</v>
      </c>
      <c r="C54" s="187">
        <f>B50*D50*E50</f>
        <v>0</v>
      </c>
      <c r="D54" s="187">
        <f>E50*(D50^2)</f>
        <v>0</v>
      </c>
      <c r="E54" s="188"/>
      <c r="F54" s="178">
        <v>12</v>
      </c>
      <c r="G54" s="174"/>
      <c r="H54" s="174"/>
      <c r="I54" s="174"/>
      <c r="J54" s="174"/>
      <c r="K54" s="174"/>
      <c r="L54" s="177"/>
      <c r="M54" s="207">
        <f>C22</f>
        <v>0</v>
      </c>
      <c r="N54" s="181"/>
      <c r="O54" s="115"/>
      <c r="Z54" s="175">
        <f>F54</f>
        <v>12</v>
      </c>
      <c r="AA54" s="175">
        <f>$Z$54*100+AA50</f>
        <v>1207</v>
      </c>
      <c r="AB54" s="175">
        <f>$Z$54*100+AB50</f>
        <v>1208</v>
      </c>
      <c r="AC54" s="175">
        <f>$Z$54*100+AC50</f>
        <v>1211</v>
      </c>
      <c r="AD54" s="175">
        <f>$Z$54*100+AD50</f>
        <v>1212</v>
      </c>
    </row>
    <row r="55" spans="1:30" s="175" customFormat="1" ht="15.75" thickBot="1" x14ac:dyDescent="0.3">
      <c r="A55" s="175">
        <v>1</v>
      </c>
      <c r="B55" s="175">
        <v>2</v>
      </c>
      <c r="C55" s="175">
        <v>5</v>
      </c>
      <c r="D55" s="175">
        <v>6</v>
      </c>
    </row>
    <row r="56" spans="1:30" s="175" customFormat="1" x14ac:dyDescent="0.25">
      <c r="A56" s="170" t="s">
        <v>124</v>
      </c>
      <c r="B56" s="171">
        <f>(F34-D34)/C34</f>
        <v>1</v>
      </c>
      <c r="C56" s="172" t="s">
        <v>125</v>
      </c>
      <c r="D56" s="171">
        <f>(G34-E34)/C34</f>
        <v>0</v>
      </c>
      <c r="E56" s="173">
        <f>(C7*I34)/(C34*100)</f>
        <v>0</v>
      </c>
      <c r="F56" s="174"/>
      <c r="G56" s="174"/>
      <c r="H56" s="174"/>
      <c r="I56" s="174"/>
      <c r="J56" s="174"/>
      <c r="K56" s="174"/>
      <c r="L56" s="174"/>
      <c r="M56" s="174"/>
      <c r="N56" s="117"/>
      <c r="O56" s="174"/>
      <c r="AA56" s="175">
        <f>A55</f>
        <v>1</v>
      </c>
      <c r="AB56" s="175">
        <f>B55</f>
        <v>2</v>
      </c>
      <c r="AC56" s="175">
        <f>C55</f>
        <v>5</v>
      </c>
      <c r="AD56" s="175">
        <f>D55</f>
        <v>6</v>
      </c>
    </row>
    <row r="57" spans="1:30" s="175" customFormat="1" x14ac:dyDescent="0.25">
      <c r="A57" s="176">
        <f>E56*(B56^2)</f>
        <v>0</v>
      </c>
      <c r="B57" s="115">
        <f>E56*D56*B56</f>
        <v>0</v>
      </c>
      <c r="C57" s="115">
        <f>-A57</f>
        <v>0</v>
      </c>
      <c r="D57" s="115">
        <f>-B56*D56*E56</f>
        <v>0</v>
      </c>
      <c r="E57" s="177"/>
      <c r="F57" s="178">
        <v>1</v>
      </c>
      <c r="G57" s="174"/>
      <c r="H57" s="179">
        <f>A55</f>
        <v>1</v>
      </c>
      <c r="I57" s="179">
        <f>B55</f>
        <v>2</v>
      </c>
      <c r="J57" s="179">
        <f>C55</f>
        <v>5</v>
      </c>
      <c r="K57" s="179">
        <f>D55</f>
        <v>6</v>
      </c>
      <c r="L57" s="177"/>
      <c r="M57" s="180">
        <v>0</v>
      </c>
      <c r="N57" s="181"/>
      <c r="O57" s="174"/>
      <c r="Z57" s="175">
        <f>F57</f>
        <v>1</v>
      </c>
      <c r="AA57" s="175">
        <f>$Z$57*100+AA56</f>
        <v>101</v>
      </c>
      <c r="AB57" s="175">
        <f>$Z$57*100+AB56</f>
        <v>102</v>
      </c>
      <c r="AC57" s="175">
        <f>$Z$57*100+AC56</f>
        <v>105</v>
      </c>
      <c r="AD57" s="175">
        <f>$Z$57*100+AD56</f>
        <v>106</v>
      </c>
    </row>
    <row r="58" spans="1:30" s="175" customFormat="1" ht="15.75" x14ac:dyDescent="0.25">
      <c r="A58" s="176">
        <f>E56*B56*D56</f>
        <v>0</v>
      </c>
      <c r="B58" s="115">
        <f>E56*(D56^2)</f>
        <v>0</v>
      </c>
      <c r="C58" s="115">
        <f>-B56*D56*E56</f>
        <v>0</v>
      </c>
      <c r="D58" s="115">
        <f>-(D56^2)*E56</f>
        <v>0</v>
      </c>
      <c r="E58" s="177">
        <v>3</v>
      </c>
      <c r="F58" s="178">
        <v>2</v>
      </c>
      <c r="G58" s="182" t="s">
        <v>155</v>
      </c>
      <c r="H58" s="179">
        <f>-B56*(C7*I34)/(C34*100)</f>
        <v>0</v>
      </c>
      <c r="I58" s="179">
        <f>-D56*(C7*I34)/(C34*100)</f>
        <v>0</v>
      </c>
      <c r="J58" s="179">
        <f>B56*(C7*I34)/(C34*100)</f>
        <v>0</v>
      </c>
      <c r="K58" s="183">
        <f>D56*(C7*I34)/(C34*100)</f>
        <v>0</v>
      </c>
      <c r="L58" s="177"/>
      <c r="M58" s="180">
        <v>0</v>
      </c>
      <c r="N58" s="184" t="s">
        <v>127</v>
      </c>
      <c r="O58" s="185">
        <f>INDEX(MMULT(H58:K58,M57:M60),1,1)</f>
        <v>0</v>
      </c>
      <c r="Z58" s="175">
        <f>F58</f>
        <v>2</v>
      </c>
      <c r="AA58" s="175">
        <f>$Z$58*100+AA56</f>
        <v>201</v>
      </c>
      <c r="AB58" s="175">
        <f>$Z$58*100+AB56</f>
        <v>202</v>
      </c>
      <c r="AC58" s="175">
        <f>$Z$58*100+AC56</f>
        <v>205</v>
      </c>
      <c r="AD58" s="175">
        <f>$Z$58*100+AD56</f>
        <v>206</v>
      </c>
    </row>
    <row r="59" spans="1:30" s="175" customFormat="1" x14ac:dyDescent="0.25">
      <c r="A59" s="176">
        <f>-(B56^2)*E56</f>
        <v>0</v>
      </c>
      <c r="B59" s="115">
        <f>-B56*D56*E56</f>
        <v>0</v>
      </c>
      <c r="C59" s="115">
        <f>E56*(B56^2)</f>
        <v>0</v>
      </c>
      <c r="D59" s="115">
        <f>B56*D56*E56</f>
        <v>0</v>
      </c>
      <c r="E59" s="177"/>
      <c r="F59" s="178">
        <v>5</v>
      </c>
      <c r="G59" s="174"/>
      <c r="H59" s="174"/>
      <c r="I59" s="174"/>
      <c r="J59" s="174"/>
      <c r="K59" s="174"/>
      <c r="L59" s="177"/>
      <c r="M59" s="207">
        <f>C15</f>
        <v>0</v>
      </c>
      <c r="N59" s="181"/>
      <c r="O59" s="115"/>
      <c r="Z59" s="175">
        <f>F59</f>
        <v>5</v>
      </c>
      <c r="AA59" s="175">
        <f>$Z$59*100+AA56</f>
        <v>501</v>
      </c>
      <c r="AB59" s="175">
        <f>$Z$59*100+AB56</f>
        <v>502</v>
      </c>
      <c r="AC59" s="175">
        <f>$Z$59*100+AC56</f>
        <v>505</v>
      </c>
      <c r="AD59" s="175">
        <f>$Z$59*100+AD56</f>
        <v>506</v>
      </c>
    </row>
    <row r="60" spans="1:30" s="175" customFormat="1" ht="15.75" thickBot="1" x14ac:dyDescent="0.3">
      <c r="A60" s="186">
        <f>-B56*D56*E56</f>
        <v>0</v>
      </c>
      <c r="B60" s="187">
        <f>-(D56^2)*E56</f>
        <v>0</v>
      </c>
      <c r="C60" s="187">
        <f>B56*D56*E56</f>
        <v>0</v>
      </c>
      <c r="D60" s="187">
        <f>E56*(D56^2)</f>
        <v>0</v>
      </c>
      <c r="E60" s="188"/>
      <c r="F60" s="178">
        <v>6</v>
      </c>
      <c r="G60" s="174"/>
      <c r="H60" s="174"/>
      <c r="I60" s="174"/>
      <c r="J60" s="174"/>
      <c r="K60" s="174"/>
      <c r="L60" s="177"/>
      <c r="M60" s="207">
        <f>C16</f>
        <v>0</v>
      </c>
      <c r="N60" s="181"/>
      <c r="O60" s="115"/>
      <c r="Z60" s="175">
        <f>F60</f>
        <v>6</v>
      </c>
      <c r="AA60" s="175">
        <f>$Z$60*100+AA56</f>
        <v>601</v>
      </c>
      <c r="AB60" s="175">
        <f>$Z$60*100+AB56</f>
        <v>602</v>
      </c>
      <c r="AC60" s="175">
        <f>$Z$60*100+AC56</f>
        <v>605</v>
      </c>
      <c r="AD60" s="175">
        <f>$Z$60*100+AD56</f>
        <v>606</v>
      </c>
    </row>
    <row r="61" spans="1:30" s="175" customFormat="1" ht="15.75" thickBot="1" x14ac:dyDescent="0.3">
      <c r="A61" s="175">
        <v>5</v>
      </c>
      <c r="B61" s="175">
        <v>6</v>
      </c>
      <c r="C61" s="175">
        <v>9</v>
      </c>
      <c r="D61" s="175">
        <v>10</v>
      </c>
    </row>
    <row r="62" spans="1:30" s="175" customFormat="1" x14ac:dyDescent="0.25">
      <c r="A62" s="170" t="s">
        <v>124</v>
      </c>
      <c r="B62" s="171">
        <f>(F35-D35)/C35</f>
        <v>1</v>
      </c>
      <c r="C62" s="172" t="s">
        <v>125</v>
      </c>
      <c r="D62" s="171">
        <f>(G35-E35)/C35</f>
        <v>0</v>
      </c>
      <c r="E62" s="173">
        <f>(I35*C8)/(C35*100)</f>
        <v>0</v>
      </c>
      <c r="F62" s="174"/>
      <c r="G62" s="174"/>
      <c r="H62" s="174"/>
      <c r="I62" s="174"/>
      <c r="J62" s="174"/>
      <c r="K62" s="174"/>
      <c r="L62" s="174"/>
      <c r="M62" s="174"/>
      <c r="N62" s="117"/>
      <c r="O62" s="174"/>
      <c r="AA62" s="175">
        <f>A61</f>
        <v>5</v>
      </c>
      <c r="AB62" s="175">
        <f>B61</f>
        <v>6</v>
      </c>
      <c r="AC62" s="175">
        <f>C61</f>
        <v>9</v>
      </c>
      <c r="AD62" s="175">
        <f>D61</f>
        <v>10</v>
      </c>
    </row>
    <row r="63" spans="1:30" s="175" customFormat="1" x14ac:dyDescent="0.25">
      <c r="A63" s="176">
        <f>E62*(B62^2)</f>
        <v>0</v>
      </c>
      <c r="B63" s="115">
        <f>E62*D62*B62</f>
        <v>0</v>
      </c>
      <c r="C63" s="115">
        <f>-A63</f>
        <v>0</v>
      </c>
      <c r="D63" s="115">
        <f>-B62*D62*E62</f>
        <v>0</v>
      </c>
      <c r="E63" s="177"/>
      <c r="F63" s="178">
        <v>5</v>
      </c>
      <c r="G63" s="174"/>
      <c r="H63" s="179">
        <f>A61</f>
        <v>5</v>
      </c>
      <c r="I63" s="179">
        <f>B61</f>
        <v>6</v>
      </c>
      <c r="J63" s="179">
        <f>C61</f>
        <v>9</v>
      </c>
      <c r="K63" s="179">
        <f>D61</f>
        <v>10</v>
      </c>
      <c r="L63" s="177"/>
      <c r="M63" s="207">
        <f>C15</f>
        <v>0</v>
      </c>
      <c r="N63" s="181"/>
      <c r="O63" s="174"/>
      <c r="Z63" s="175">
        <f>F63</f>
        <v>5</v>
      </c>
      <c r="AA63" s="175">
        <f>$Z$63*100+AA62</f>
        <v>505</v>
      </c>
      <c r="AB63" s="175">
        <f>$Z$63*100+AB62</f>
        <v>506</v>
      </c>
      <c r="AC63" s="175">
        <f>$Z$63*100+AC62</f>
        <v>509</v>
      </c>
      <c r="AD63" s="175">
        <f>$Z$63*100+AD62</f>
        <v>510</v>
      </c>
    </row>
    <row r="64" spans="1:30" s="175" customFormat="1" ht="15.75" x14ac:dyDescent="0.25">
      <c r="A64" s="176">
        <f>E62*B62*D62</f>
        <v>0</v>
      </c>
      <c r="B64" s="115">
        <f>E62*(D62^2)</f>
        <v>0</v>
      </c>
      <c r="C64" s="115">
        <f>-B62*D62*E62</f>
        <v>0</v>
      </c>
      <c r="D64" s="115">
        <f>-(D62^2)*E62</f>
        <v>0</v>
      </c>
      <c r="E64" s="177">
        <v>4</v>
      </c>
      <c r="F64" s="178">
        <v>6</v>
      </c>
      <c r="G64" s="182" t="s">
        <v>157</v>
      </c>
      <c r="H64" s="179">
        <f>-B62*(I35*C8)/(C35*100)</f>
        <v>0</v>
      </c>
      <c r="I64" s="179">
        <f>-D62*(I35*C8)/(C35*100)</f>
        <v>0</v>
      </c>
      <c r="J64" s="179">
        <f>B62*(I35*C8)/(C35*100)</f>
        <v>0</v>
      </c>
      <c r="K64" s="183">
        <f>D62*(I35*C8)/(C35*100)</f>
        <v>0</v>
      </c>
      <c r="L64" s="177"/>
      <c r="M64" s="207">
        <f>C16</f>
        <v>0</v>
      </c>
      <c r="N64" s="184" t="s">
        <v>127</v>
      </c>
      <c r="O64" s="185">
        <f>INDEX(MMULT(H64:K64,M63:M66),1,1)</f>
        <v>0</v>
      </c>
      <c r="Z64" s="175">
        <f>F64</f>
        <v>6</v>
      </c>
      <c r="AA64" s="175">
        <f>$Z$64*100+AA62</f>
        <v>605</v>
      </c>
      <c r="AB64" s="175">
        <f>$Z$64*100+AB62</f>
        <v>606</v>
      </c>
      <c r="AC64" s="175">
        <f>$Z$64*100+AC62</f>
        <v>609</v>
      </c>
      <c r="AD64" s="175">
        <f>$Z$64*100+AD62</f>
        <v>610</v>
      </c>
    </row>
    <row r="65" spans="1:30" s="175" customFormat="1" x14ac:dyDescent="0.25">
      <c r="A65" s="176">
        <f>-(B62^2)*E62</f>
        <v>0</v>
      </c>
      <c r="B65" s="115">
        <f>-B62*D62*E62</f>
        <v>0</v>
      </c>
      <c r="C65" s="115">
        <f>E62*(B62^2)</f>
        <v>0</v>
      </c>
      <c r="D65" s="115">
        <f>B62*D62*E62</f>
        <v>0</v>
      </c>
      <c r="E65" s="177"/>
      <c r="F65" s="178">
        <v>9</v>
      </c>
      <c r="G65" s="174"/>
      <c r="H65" s="174"/>
      <c r="I65" s="174"/>
      <c r="J65" s="174"/>
      <c r="K65" s="174"/>
      <c r="L65" s="177"/>
      <c r="M65" s="180">
        <f>C19</f>
        <v>0</v>
      </c>
      <c r="N65" s="181"/>
      <c r="O65" s="115"/>
      <c r="Z65" s="175">
        <f>F65</f>
        <v>9</v>
      </c>
      <c r="AA65" s="175">
        <f>$Z$65*100+AA62</f>
        <v>905</v>
      </c>
      <c r="AB65" s="175">
        <f>$Z$65*100+AB62</f>
        <v>906</v>
      </c>
      <c r="AC65" s="175">
        <f>$Z$65*100+AC62</f>
        <v>909</v>
      </c>
      <c r="AD65" s="175">
        <f>$Z$65*100+AD62</f>
        <v>910</v>
      </c>
    </row>
    <row r="66" spans="1:30" s="175" customFormat="1" ht="15.75" thickBot="1" x14ac:dyDescent="0.3">
      <c r="A66" s="186">
        <f>-B62*D62*E62</f>
        <v>0</v>
      </c>
      <c r="B66" s="187">
        <f>-(D62^2)*E62</f>
        <v>0</v>
      </c>
      <c r="C66" s="187">
        <f>B62*D62*E62</f>
        <v>0</v>
      </c>
      <c r="D66" s="187">
        <f>E62*(D62^2)</f>
        <v>0</v>
      </c>
      <c r="E66" s="188"/>
      <c r="F66" s="178">
        <v>10</v>
      </c>
      <c r="G66" s="174"/>
      <c r="H66" s="174"/>
      <c r="I66" s="174"/>
      <c r="J66" s="174"/>
      <c r="K66" s="174"/>
      <c r="L66" s="177"/>
      <c r="M66" s="207">
        <f>C20</f>
        <v>0</v>
      </c>
      <c r="N66" s="181"/>
      <c r="O66" s="115"/>
      <c r="Z66" s="175">
        <f>F66</f>
        <v>10</v>
      </c>
      <c r="AA66" s="175">
        <f>$Z$66*100+AA62</f>
        <v>1005</v>
      </c>
      <c r="AB66" s="175">
        <f>$Z$66*100+AB62</f>
        <v>1006</v>
      </c>
      <c r="AC66" s="175">
        <f>$Z$66*100+AC62</f>
        <v>1009</v>
      </c>
      <c r="AD66" s="175">
        <f>$Z$66*100+AD62</f>
        <v>1010</v>
      </c>
    </row>
    <row r="67" spans="1:30" s="175" customFormat="1" ht="15.75" thickBot="1" x14ac:dyDescent="0.3">
      <c r="A67" s="175">
        <v>5</v>
      </c>
      <c r="B67" s="175">
        <v>6</v>
      </c>
      <c r="C67" s="175">
        <v>7</v>
      </c>
      <c r="D67" s="175">
        <v>8</v>
      </c>
    </row>
    <row r="68" spans="1:30" s="175" customFormat="1" x14ac:dyDescent="0.25">
      <c r="A68" s="170" t="s">
        <v>124</v>
      </c>
      <c r="B68" s="171">
        <f>(F36-D36)/C36</f>
        <v>0</v>
      </c>
      <c r="C68" s="172" t="s">
        <v>125</v>
      </c>
      <c r="D68" s="171">
        <f>(G36-E36)/C36</f>
        <v>1</v>
      </c>
      <c r="E68" s="173">
        <f>(I36*C9)/(C36*100)</f>
        <v>0</v>
      </c>
      <c r="F68" s="174"/>
      <c r="G68" s="174"/>
      <c r="H68" s="174"/>
      <c r="I68" s="174"/>
      <c r="J68" s="174"/>
      <c r="K68" s="174"/>
      <c r="L68" s="174"/>
      <c r="M68" s="174"/>
      <c r="N68" s="117"/>
      <c r="O68" s="174"/>
      <c r="AA68" s="175">
        <f>A67</f>
        <v>5</v>
      </c>
      <c r="AB68" s="175">
        <f>B67</f>
        <v>6</v>
      </c>
      <c r="AC68" s="175">
        <f>C67</f>
        <v>7</v>
      </c>
      <c r="AD68" s="175">
        <f>D67</f>
        <v>8</v>
      </c>
    </row>
    <row r="69" spans="1:30" s="175" customFormat="1" x14ac:dyDescent="0.25">
      <c r="A69" s="176">
        <f>E68*(B68^2)</f>
        <v>0</v>
      </c>
      <c r="B69" s="115">
        <f>E68*D68*B68</f>
        <v>0</v>
      </c>
      <c r="C69" s="115">
        <f>-A69</f>
        <v>0</v>
      </c>
      <c r="D69" s="115">
        <f>-B68*D68*E68</f>
        <v>0</v>
      </c>
      <c r="E69" s="177"/>
      <c r="F69" s="178">
        <v>5</v>
      </c>
      <c r="G69" s="174"/>
      <c r="H69" s="179">
        <f>A67</f>
        <v>5</v>
      </c>
      <c r="I69" s="179">
        <f>B67</f>
        <v>6</v>
      </c>
      <c r="J69" s="179">
        <f>C67</f>
        <v>7</v>
      </c>
      <c r="K69" s="179">
        <f>D67</f>
        <v>8</v>
      </c>
      <c r="L69" s="177"/>
      <c r="M69" s="207">
        <f>C15</f>
        <v>0</v>
      </c>
      <c r="N69" s="181"/>
      <c r="O69" s="174"/>
      <c r="Z69" s="175">
        <f>F69</f>
        <v>5</v>
      </c>
      <c r="AA69" s="175">
        <f>$Z$69*100+AA68</f>
        <v>505</v>
      </c>
      <c r="AB69" s="175">
        <f>$Z$69*100+AB68</f>
        <v>506</v>
      </c>
      <c r="AC69" s="175">
        <f>$Z$69*100+AC68</f>
        <v>507</v>
      </c>
      <c r="AD69" s="175">
        <f>$Z$69*100+AD68</f>
        <v>508</v>
      </c>
    </row>
    <row r="70" spans="1:30" s="175" customFormat="1" ht="15.75" x14ac:dyDescent="0.25">
      <c r="A70" s="176">
        <f>E68*B68*D68</f>
        <v>0</v>
      </c>
      <c r="B70" s="115">
        <f>E68*(D68^2)</f>
        <v>0</v>
      </c>
      <c r="C70" s="115">
        <f>-B68*D68*E68</f>
        <v>0</v>
      </c>
      <c r="D70" s="115">
        <f>-(D68^2)*E68</f>
        <v>0</v>
      </c>
      <c r="E70" s="177">
        <v>5</v>
      </c>
      <c r="F70" s="178">
        <v>6</v>
      </c>
      <c r="G70" s="182" t="s">
        <v>156</v>
      </c>
      <c r="H70" s="179">
        <f>-B68*(I36*C9)/(C36*100)</f>
        <v>0</v>
      </c>
      <c r="I70" s="179">
        <f>-D68*(I36*C9)/(C36*100)</f>
        <v>0</v>
      </c>
      <c r="J70" s="179">
        <f>B68*(I36*C9)/(C36*100)</f>
        <v>0</v>
      </c>
      <c r="K70" s="183">
        <f>D68*(I36*C9)/(C36*100)</f>
        <v>0</v>
      </c>
      <c r="L70" s="177"/>
      <c r="M70" s="207">
        <f>C16</f>
        <v>0</v>
      </c>
      <c r="N70" s="184" t="s">
        <v>127</v>
      </c>
      <c r="O70" s="185">
        <f>INDEX(MMULT(H70:K70,M69:M72),1,1)</f>
        <v>0</v>
      </c>
      <c r="Z70" s="175">
        <f>F70</f>
        <v>6</v>
      </c>
      <c r="AA70" s="175">
        <f>$Z$70*100+AA68</f>
        <v>605</v>
      </c>
      <c r="AB70" s="175">
        <f>$Z$70*100+AB68</f>
        <v>606</v>
      </c>
      <c r="AC70" s="175">
        <f>$Z$70*100+AC68</f>
        <v>607</v>
      </c>
      <c r="AD70" s="175">
        <f>$Z$70*100+AD68</f>
        <v>608</v>
      </c>
    </row>
    <row r="71" spans="1:30" s="175" customFormat="1" x14ac:dyDescent="0.25">
      <c r="A71" s="176">
        <f>-(B68^2)*E68</f>
        <v>0</v>
      </c>
      <c r="B71" s="115">
        <f>-B68*D68*E68</f>
        <v>0</v>
      </c>
      <c r="C71" s="115">
        <f>E68*(B68^2)</f>
        <v>0</v>
      </c>
      <c r="D71" s="115">
        <f>B68*D68*E68</f>
        <v>0</v>
      </c>
      <c r="E71" s="177"/>
      <c r="F71" s="178">
        <v>7</v>
      </c>
      <c r="G71" s="174"/>
      <c r="H71" s="174"/>
      <c r="I71" s="174"/>
      <c r="J71" s="174"/>
      <c r="K71" s="174"/>
      <c r="L71" s="177"/>
      <c r="M71" s="207">
        <f>C17</f>
        <v>0</v>
      </c>
      <c r="N71" s="181"/>
      <c r="O71" s="115"/>
      <c r="Z71" s="175">
        <f>F71</f>
        <v>7</v>
      </c>
      <c r="AA71" s="175">
        <f>$Z$71*100+AA68</f>
        <v>705</v>
      </c>
      <c r="AB71" s="175">
        <f>$Z$71*100+AB68</f>
        <v>706</v>
      </c>
      <c r="AC71" s="175">
        <f>$Z$71*100+AC68</f>
        <v>707</v>
      </c>
      <c r="AD71" s="175">
        <f>$Z$71*100+AD68</f>
        <v>708</v>
      </c>
    </row>
    <row r="72" spans="1:30" s="175" customFormat="1" ht="15.75" thickBot="1" x14ac:dyDescent="0.3">
      <c r="A72" s="186">
        <f>-B68*D68*E68</f>
        <v>0</v>
      </c>
      <c r="B72" s="187">
        <f>-(D68^2)*E68</f>
        <v>0</v>
      </c>
      <c r="C72" s="187">
        <f>B68*D68*E68</f>
        <v>0</v>
      </c>
      <c r="D72" s="187">
        <f>E68*(D68^2)</f>
        <v>0</v>
      </c>
      <c r="E72" s="188"/>
      <c r="F72" s="178">
        <v>8</v>
      </c>
      <c r="G72" s="174"/>
      <c r="H72" s="174"/>
      <c r="I72" s="174"/>
      <c r="J72" s="174"/>
      <c r="K72" s="174"/>
      <c r="L72" s="177"/>
      <c r="M72" s="207">
        <f>C18</f>
        <v>0</v>
      </c>
      <c r="N72" s="181"/>
      <c r="O72" s="115"/>
      <c r="Z72" s="175">
        <f>F72</f>
        <v>8</v>
      </c>
      <c r="AA72" s="175">
        <f>$Z$72*100+AA68</f>
        <v>805</v>
      </c>
      <c r="AB72" s="175">
        <f>$Z$72*100+AB68</f>
        <v>806</v>
      </c>
      <c r="AC72" s="175">
        <f>$Z$72*100+AC68</f>
        <v>807</v>
      </c>
      <c r="AD72" s="175">
        <f>$Z$72*100+AD68</f>
        <v>808</v>
      </c>
    </row>
    <row r="73" spans="1:30" s="175" customFormat="1" ht="15.75" thickBot="1" x14ac:dyDescent="0.3">
      <c r="A73" s="175">
        <v>9</v>
      </c>
      <c r="B73" s="175">
        <v>10</v>
      </c>
      <c r="C73" s="175">
        <v>11</v>
      </c>
      <c r="D73" s="175">
        <v>12</v>
      </c>
    </row>
    <row r="74" spans="1:30" s="175" customFormat="1" x14ac:dyDescent="0.25">
      <c r="A74" s="170" t="s">
        <v>124</v>
      </c>
      <c r="B74" s="171">
        <f>(F37-D37)/C37</f>
        <v>0</v>
      </c>
      <c r="C74" s="172" t="s">
        <v>125</v>
      </c>
      <c r="D74" s="171">
        <f>(G37-E37)/C37</f>
        <v>1</v>
      </c>
      <c r="E74" s="173">
        <f>(I37*C10)/(C37*100)</f>
        <v>0</v>
      </c>
      <c r="F74" s="174"/>
      <c r="G74" s="174"/>
      <c r="H74" s="174"/>
      <c r="I74" s="174"/>
      <c r="J74" s="174"/>
      <c r="K74" s="174"/>
      <c r="L74" s="174"/>
      <c r="M74" s="174"/>
      <c r="N74" s="117"/>
      <c r="O74" s="174"/>
      <c r="AA74" s="175">
        <f>A73</f>
        <v>9</v>
      </c>
      <c r="AB74" s="175">
        <f>B73</f>
        <v>10</v>
      </c>
      <c r="AC74" s="175">
        <f>C73</f>
        <v>11</v>
      </c>
      <c r="AD74" s="175">
        <f>D73</f>
        <v>12</v>
      </c>
    </row>
    <row r="75" spans="1:30" s="175" customFormat="1" x14ac:dyDescent="0.25">
      <c r="A75" s="176">
        <f>E74*(B74^2)</f>
        <v>0</v>
      </c>
      <c r="B75" s="115">
        <f>E74*D74*B74</f>
        <v>0</v>
      </c>
      <c r="C75" s="115">
        <f>-A75</f>
        <v>0</v>
      </c>
      <c r="D75" s="115">
        <f>-B74*D74*E74</f>
        <v>0</v>
      </c>
      <c r="E75" s="177"/>
      <c r="F75" s="178">
        <v>9</v>
      </c>
      <c r="G75" s="174"/>
      <c r="H75" s="179">
        <f>A73</f>
        <v>9</v>
      </c>
      <c r="I75" s="179">
        <f>B73</f>
        <v>10</v>
      </c>
      <c r="J75" s="179">
        <f>C73</f>
        <v>11</v>
      </c>
      <c r="K75" s="179">
        <f>D73</f>
        <v>12</v>
      </c>
      <c r="L75" s="177"/>
      <c r="M75" s="180">
        <f>C19</f>
        <v>0</v>
      </c>
      <c r="N75" s="181"/>
      <c r="O75" s="174"/>
      <c r="Z75" s="175">
        <f>F75</f>
        <v>9</v>
      </c>
      <c r="AA75" s="175">
        <f>$Z$75*100+AA74</f>
        <v>909</v>
      </c>
      <c r="AB75" s="175">
        <f>$Z$75*100+AB74</f>
        <v>910</v>
      </c>
      <c r="AC75" s="175">
        <f>$Z$75*100+AC74</f>
        <v>911</v>
      </c>
      <c r="AD75" s="175">
        <f>$Z$75*100+AD74</f>
        <v>912</v>
      </c>
    </row>
    <row r="76" spans="1:30" s="175" customFormat="1" ht="15.75" x14ac:dyDescent="0.25">
      <c r="A76" s="176">
        <f>E74*B74*D74</f>
        <v>0</v>
      </c>
      <c r="B76" s="115">
        <f>E74*(D74^2)</f>
        <v>0</v>
      </c>
      <c r="C76" s="115">
        <f>-B74*D74*E74</f>
        <v>0</v>
      </c>
      <c r="D76" s="115">
        <f>-(D74^2)*E74</f>
        <v>0</v>
      </c>
      <c r="E76" s="177">
        <v>6</v>
      </c>
      <c r="F76" s="178">
        <v>10</v>
      </c>
      <c r="G76" s="182" t="s">
        <v>158</v>
      </c>
      <c r="H76" s="179">
        <f>-B74*(I37*C10)/(C37*100)</f>
        <v>0</v>
      </c>
      <c r="I76" s="179">
        <f>-D74*(I37*C10)/(C37*100)</f>
        <v>0</v>
      </c>
      <c r="J76" s="179">
        <f>B74*(I37*C10)/(C37*100)</f>
        <v>0</v>
      </c>
      <c r="K76" s="183">
        <f>D74*(I37*C10)/(C37*100)</f>
        <v>0</v>
      </c>
      <c r="L76" s="177"/>
      <c r="M76" s="207">
        <f>C20</f>
        <v>0</v>
      </c>
      <c r="N76" s="184" t="s">
        <v>127</v>
      </c>
      <c r="O76" s="185">
        <f>INDEX(MMULT(H76:K76,M75:M78),1,1)</f>
        <v>0</v>
      </c>
      <c r="Z76" s="175">
        <f>F76</f>
        <v>10</v>
      </c>
      <c r="AA76" s="175">
        <f>$Z$76*100+AA74</f>
        <v>1009</v>
      </c>
      <c r="AB76" s="175">
        <f>$Z$76*100+AB74</f>
        <v>1010</v>
      </c>
      <c r="AC76" s="175">
        <f>$Z$76*100+AC74</f>
        <v>1011</v>
      </c>
      <c r="AD76" s="175">
        <f>$Z$76*100+AD74</f>
        <v>1012</v>
      </c>
    </row>
    <row r="77" spans="1:30" s="175" customFormat="1" x14ac:dyDescent="0.25">
      <c r="A77" s="176">
        <f>-(B74^2)*E74</f>
        <v>0</v>
      </c>
      <c r="B77" s="115">
        <f>-B74*D74*E74</f>
        <v>0</v>
      </c>
      <c r="C77" s="115">
        <f>E74*(B74^2)</f>
        <v>0</v>
      </c>
      <c r="D77" s="115">
        <f>B74*D74*E74</f>
        <v>0</v>
      </c>
      <c r="E77" s="177"/>
      <c r="F77" s="178">
        <v>11</v>
      </c>
      <c r="G77" s="174"/>
      <c r="H77" s="174"/>
      <c r="I77" s="174"/>
      <c r="J77" s="174"/>
      <c r="K77" s="174"/>
      <c r="L77" s="177"/>
      <c r="M77" s="207">
        <f>C21</f>
        <v>0</v>
      </c>
      <c r="N77" s="181"/>
      <c r="O77" s="115"/>
      <c r="Z77" s="175">
        <f>F77</f>
        <v>11</v>
      </c>
      <c r="AA77" s="175">
        <f>$Z$77*100+AA74</f>
        <v>1109</v>
      </c>
      <c r="AB77" s="175">
        <f>$Z$77*100+AB74</f>
        <v>1110</v>
      </c>
      <c r="AC77" s="175">
        <f>$Z$77*100+AC74</f>
        <v>1111</v>
      </c>
      <c r="AD77" s="175">
        <f>$Z$77*100+AD74</f>
        <v>1112</v>
      </c>
    </row>
    <row r="78" spans="1:30" s="175" customFormat="1" ht="15.75" thickBot="1" x14ac:dyDescent="0.3">
      <c r="A78" s="186">
        <f>-B74*D74*E74</f>
        <v>0</v>
      </c>
      <c r="B78" s="187">
        <f>-(D74^2)*E74</f>
        <v>0</v>
      </c>
      <c r="C78" s="187">
        <f>B74*D74*E74</f>
        <v>0</v>
      </c>
      <c r="D78" s="187">
        <f>E74*(D74^2)</f>
        <v>0</v>
      </c>
      <c r="E78" s="188"/>
      <c r="F78" s="178">
        <v>12</v>
      </c>
      <c r="G78" s="174"/>
      <c r="H78" s="174"/>
      <c r="I78" s="174"/>
      <c r="J78" s="174"/>
      <c r="K78" s="174"/>
      <c r="L78" s="177"/>
      <c r="M78" s="207">
        <f>C22</f>
        <v>0</v>
      </c>
      <c r="N78" s="181"/>
      <c r="O78" s="115"/>
      <c r="Z78" s="175">
        <f>F78</f>
        <v>12</v>
      </c>
      <c r="AA78" s="175">
        <f>$Z$78*100+AA74</f>
        <v>1209</v>
      </c>
      <c r="AB78" s="175">
        <f>$Z$78*100+AB74</f>
        <v>1210</v>
      </c>
      <c r="AC78" s="175">
        <f>$Z$78*100+AC74</f>
        <v>1211</v>
      </c>
      <c r="AD78" s="175">
        <f>$Z$78*100+AD74</f>
        <v>1212</v>
      </c>
    </row>
    <row r="79" spans="1:30" s="175" customFormat="1" ht="15.75" thickBot="1" x14ac:dyDescent="0.3">
      <c r="A79" s="175">
        <v>5</v>
      </c>
      <c r="B79" s="175">
        <v>6</v>
      </c>
      <c r="C79" s="175">
        <v>3</v>
      </c>
      <c r="D79" s="175">
        <v>4</v>
      </c>
    </row>
    <row r="80" spans="1:30" s="175" customFormat="1" x14ac:dyDescent="0.25">
      <c r="A80" s="170" t="s">
        <v>124</v>
      </c>
      <c r="B80" s="171">
        <f>(F38-D38)/C38</f>
        <v>-0.70710678118654757</v>
      </c>
      <c r="C80" s="172" t="s">
        <v>125</v>
      </c>
      <c r="D80" s="171">
        <f>(G38-E38)/C38</f>
        <v>0.70710678118654757</v>
      </c>
      <c r="E80" s="173">
        <f>(I38*C11)/(C38*100)</f>
        <v>0</v>
      </c>
      <c r="F80" s="174"/>
      <c r="G80" s="174"/>
      <c r="H80" s="174"/>
      <c r="I80" s="174"/>
      <c r="J80" s="174"/>
      <c r="K80" s="174"/>
      <c r="L80" s="174"/>
      <c r="M80" s="174"/>
      <c r="N80" s="117"/>
      <c r="O80" s="174"/>
      <c r="AA80" s="175">
        <f>A79</f>
        <v>5</v>
      </c>
      <c r="AB80" s="175">
        <f>B79</f>
        <v>6</v>
      </c>
      <c r="AC80" s="175">
        <f>C79</f>
        <v>3</v>
      </c>
      <c r="AD80" s="175">
        <f>D79</f>
        <v>4</v>
      </c>
    </row>
    <row r="81" spans="1:30" s="175" customFormat="1" x14ac:dyDescent="0.25">
      <c r="A81" s="176">
        <f>E80*(B80^2)</f>
        <v>0</v>
      </c>
      <c r="B81" s="115">
        <f>E80*D80*B80</f>
        <v>0</v>
      </c>
      <c r="C81" s="115">
        <f>-A81</f>
        <v>0</v>
      </c>
      <c r="D81" s="115">
        <f>-B80*D80*E80</f>
        <v>0</v>
      </c>
      <c r="E81" s="177"/>
      <c r="F81" s="178">
        <v>5</v>
      </c>
      <c r="G81" s="174"/>
      <c r="H81" s="179">
        <f>A79</f>
        <v>5</v>
      </c>
      <c r="I81" s="179">
        <f>B79</f>
        <v>6</v>
      </c>
      <c r="J81" s="179">
        <f>C79</f>
        <v>3</v>
      </c>
      <c r="K81" s="179">
        <f>D79</f>
        <v>4</v>
      </c>
      <c r="L81" s="177"/>
      <c r="M81" s="207">
        <f>C15</f>
        <v>0</v>
      </c>
      <c r="N81" s="181"/>
      <c r="O81" s="174"/>
      <c r="Z81" s="175">
        <f>F81</f>
        <v>5</v>
      </c>
      <c r="AA81" s="175">
        <f>$Z$81*100+AA80</f>
        <v>505</v>
      </c>
      <c r="AB81" s="175">
        <f>$Z$81*100+AB80</f>
        <v>506</v>
      </c>
      <c r="AC81" s="175">
        <f>$Z$81*100+AC80</f>
        <v>503</v>
      </c>
      <c r="AD81" s="175">
        <f>$Z$81*100+AD80</f>
        <v>504</v>
      </c>
    </row>
    <row r="82" spans="1:30" s="175" customFormat="1" ht="15.75" x14ac:dyDescent="0.25">
      <c r="A82" s="176">
        <f>E80*B80*D80</f>
        <v>0</v>
      </c>
      <c r="B82" s="115">
        <f>E80*(D80^2)</f>
        <v>0</v>
      </c>
      <c r="C82" s="115">
        <f>-B80*D80*E80</f>
        <v>0</v>
      </c>
      <c r="D82" s="115">
        <f>-(D80^2)*E80</f>
        <v>0</v>
      </c>
      <c r="E82" s="177">
        <v>7</v>
      </c>
      <c r="F82" s="178">
        <v>6</v>
      </c>
      <c r="G82" s="182" t="s">
        <v>159</v>
      </c>
      <c r="H82" s="179">
        <f>-B80*(I38*C11)/(C38*100)</f>
        <v>0</v>
      </c>
      <c r="I82" s="179">
        <f>-D80*(I38*C11)/(C38*100)</f>
        <v>0</v>
      </c>
      <c r="J82" s="179">
        <f>B80*(I38*C11)/(C38*100)</f>
        <v>0</v>
      </c>
      <c r="K82" s="183">
        <f>D80*(I38*C11)/(C38*100)</f>
        <v>0</v>
      </c>
      <c r="L82" s="177"/>
      <c r="M82" s="207">
        <f>C16</f>
        <v>0</v>
      </c>
      <c r="N82" s="184" t="s">
        <v>127</v>
      </c>
      <c r="O82" s="185">
        <f>INDEX(MMULT(H82:K82,M81:M84),1,1)</f>
        <v>0</v>
      </c>
      <c r="Z82" s="175">
        <f>F82</f>
        <v>6</v>
      </c>
      <c r="AA82" s="175">
        <f>$Z$82*100+AA80</f>
        <v>605</v>
      </c>
      <c r="AB82" s="175">
        <f>$Z$82*100+AB80</f>
        <v>606</v>
      </c>
      <c r="AC82" s="175">
        <f>$Z$82*100+AC80</f>
        <v>603</v>
      </c>
      <c r="AD82" s="175">
        <f>$Z$82*100+AD80</f>
        <v>604</v>
      </c>
    </row>
    <row r="83" spans="1:30" s="175" customFormat="1" x14ac:dyDescent="0.25">
      <c r="A83" s="176">
        <f>-(B80^2)*E80</f>
        <v>0</v>
      </c>
      <c r="B83" s="115">
        <f>-B80*D80*E80</f>
        <v>0</v>
      </c>
      <c r="C83" s="115">
        <f>E80*(B80^2)</f>
        <v>0</v>
      </c>
      <c r="D83" s="115">
        <f>B80*D80*E80</f>
        <v>0</v>
      </c>
      <c r="E83" s="177"/>
      <c r="F83" s="178">
        <v>3</v>
      </c>
      <c r="G83" s="174"/>
      <c r="H83" s="174"/>
      <c r="I83" s="174"/>
      <c r="J83" s="174"/>
      <c r="K83" s="174"/>
      <c r="L83" s="177"/>
      <c r="M83" s="180">
        <v>0</v>
      </c>
      <c r="N83" s="181"/>
      <c r="O83" s="115"/>
      <c r="Z83" s="175">
        <f>F83</f>
        <v>3</v>
      </c>
      <c r="AA83" s="175">
        <f>$Z$83*100+AA80</f>
        <v>305</v>
      </c>
      <c r="AB83" s="175">
        <f>$Z$83*100+AB80</f>
        <v>306</v>
      </c>
      <c r="AC83" s="175">
        <f>$Z$83*100+AC80</f>
        <v>303</v>
      </c>
      <c r="AD83" s="175">
        <f>$Z$83*100+AD80</f>
        <v>304</v>
      </c>
    </row>
    <row r="84" spans="1:30" s="175" customFormat="1" ht="15.75" thickBot="1" x14ac:dyDescent="0.3">
      <c r="A84" s="186">
        <f>-B80*D80*E80</f>
        <v>0</v>
      </c>
      <c r="B84" s="187">
        <f>-(D80^2)*E80</f>
        <v>0</v>
      </c>
      <c r="C84" s="187">
        <f>B80*D80*E80</f>
        <v>0</v>
      </c>
      <c r="D84" s="187">
        <f>E80*(D80^2)</f>
        <v>0</v>
      </c>
      <c r="E84" s="188"/>
      <c r="F84" s="178">
        <v>4</v>
      </c>
      <c r="G84" s="174"/>
      <c r="H84" s="174"/>
      <c r="I84" s="174"/>
      <c r="J84" s="174"/>
      <c r="K84" s="174"/>
      <c r="L84" s="177"/>
      <c r="M84" s="180">
        <v>0</v>
      </c>
      <c r="N84" s="181"/>
      <c r="O84" s="115"/>
      <c r="Z84" s="175">
        <f>F84</f>
        <v>4</v>
      </c>
      <c r="AA84" s="175">
        <f>$Z$84*100+AA80</f>
        <v>405</v>
      </c>
      <c r="AB84" s="175">
        <f>$Z$84*100+AB80</f>
        <v>406</v>
      </c>
      <c r="AC84" s="175">
        <f>$Z$84*100+AC80</f>
        <v>403</v>
      </c>
      <c r="AD84" s="175">
        <f>$Z$84*100+AD80</f>
        <v>404</v>
      </c>
    </row>
    <row r="85" spans="1:30" s="175" customFormat="1" ht="15.75" thickBot="1" x14ac:dyDescent="0.3">
      <c r="A85" s="175">
        <v>1</v>
      </c>
      <c r="B85" s="175">
        <v>2</v>
      </c>
      <c r="C85" s="175">
        <v>7</v>
      </c>
      <c r="D85" s="175">
        <v>8</v>
      </c>
    </row>
    <row r="86" spans="1:30" s="175" customFormat="1" x14ac:dyDescent="0.25">
      <c r="A86" s="170" t="s">
        <v>124</v>
      </c>
      <c r="B86" s="171">
        <f>(F39-D39)/C39</f>
        <v>0.70710678118654757</v>
      </c>
      <c r="C86" s="172" t="s">
        <v>125</v>
      </c>
      <c r="D86" s="171">
        <f>(G39-E39)/C39</f>
        <v>0.70710678118654757</v>
      </c>
      <c r="E86" s="173">
        <f>(I39*C12)/(C39*100)</f>
        <v>0</v>
      </c>
      <c r="F86" s="174"/>
      <c r="G86" s="174"/>
      <c r="H86" s="174"/>
      <c r="I86" s="174"/>
      <c r="J86" s="174"/>
      <c r="K86" s="174"/>
      <c r="L86" s="174"/>
      <c r="M86" s="174"/>
      <c r="N86" s="117"/>
      <c r="O86" s="174"/>
      <c r="AA86" s="175">
        <f>A85</f>
        <v>1</v>
      </c>
      <c r="AB86" s="175">
        <f>B85</f>
        <v>2</v>
      </c>
      <c r="AC86" s="175">
        <f>C85</f>
        <v>7</v>
      </c>
      <c r="AD86" s="175">
        <f>D85</f>
        <v>8</v>
      </c>
    </row>
    <row r="87" spans="1:30" s="175" customFormat="1" x14ac:dyDescent="0.25">
      <c r="A87" s="176">
        <f>E86*(B86^2)</f>
        <v>0</v>
      </c>
      <c r="B87" s="115">
        <f>E86*D86*B86</f>
        <v>0</v>
      </c>
      <c r="C87" s="115">
        <f>-A87</f>
        <v>0</v>
      </c>
      <c r="D87" s="115">
        <f>-B86*D86*E86</f>
        <v>0</v>
      </c>
      <c r="E87" s="177"/>
      <c r="F87" s="178">
        <v>1</v>
      </c>
      <c r="G87" s="174"/>
      <c r="H87" s="179">
        <f>A85</f>
        <v>1</v>
      </c>
      <c r="I87" s="179">
        <f>B85</f>
        <v>2</v>
      </c>
      <c r="J87" s="179">
        <f>C85</f>
        <v>7</v>
      </c>
      <c r="K87" s="179">
        <f>D85</f>
        <v>8</v>
      </c>
      <c r="L87" s="177"/>
      <c r="M87" s="180">
        <v>0</v>
      </c>
      <c r="N87" s="181"/>
      <c r="O87" s="174"/>
      <c r="Z87" s="175">
        <f>F87</f>
        <v>1</v>
      </c>
      <c r="AA87" s="175">
        <f>$Z$87*100+AA86</f>
        <v>101</v>
      </c>
      <c r="AB87" s="175">
        <f>$Z$87*100+AB86</f>
        <v>102</v>
      </c>
      <c r="AC87" s="175">
        <f>$Z$87*100+AC86</f>
        <v>107</v>
      </c>
      <c r="AD87" s="175">
        <f>$Z$87*100+AD86</f>
        <v>108</v>
      </c>
    </row>
    <row r="88" spans="1:30" s="175" customFormat="1" ht="15.75" x14ac:dyDescent="0.25">
      <c r="A88" s="176">
        <f>E86*B86*D86</f>
        <v>0</v>
      </c>
      <c r="B88" s="115">
        <f>E86*(D86^2)</f>
        <v>0</v>
      </c>
      <c r="C88" s="115">
        <f>-B86*D86*E86</f>
        <v>0</v>
      </c>
      <c r="D88" s="115">
        <f>-(D86^2)*E86</f>
        <v>0</v>
      </c>
      <c r="E88" s="177">
        <v>8</v>
      </c>
      <c r="F88" s="178">
        <v>2</v>
      </c>
      <c r="G88" s="182" t="s">
        <v>160</v>
      </c>
      <c r="H88" s="179">
        <f>-B86*(I39*C12)/(C39*100)</f>
        <v>0</v>
      </c>
      <c r="I88" s="179">
        <f>-D86*(I39*C12)/(C39*100)</f>
        <v>0</v>
      </c>
      <c r="J88" s="179">
        <f>B86*(I39*C12)/(C39*100)</f>
        <v>0</v>
      </c>
      <c r="K88" s="183">
        <f>D86*(I39*C12)/(C39*100)</f>
        <v>0</v>
      </c>
      <c r="L88" s="177"/>
      <c r="M88" s="180">
        <v>0</v>
      </c>
      <c r="N88" s="184" t="s">
        <v>127</v>
      </c>
      <c r="O88" s="185">
        <f>INDEX(MMULT(H88:K88,M87:M90),1,1)</f>
        <v>0</v>
      </c>
      <c r="Z88" s="175">
        <f>F88</f>
        <v>2</v>
      </c>
      <c r="AA88" s="175">
        <f>$Z$88*100+AA86</f>
        <v>201</v>
      </c>
      <c r="AB88" s="175">
        <f>$Z$88*100+AB86</f>
        <v>202</v>
      </c>
      <c r="AC88" s="175">
        <f>$Z$88*100+AC86</f>
        <v>207</v>
      </c>
      <c r="AD88" s="175">
        <f>$Z$88*100+AD86</f>
        <v>208</v>
      </c>
    </row>
    <row r="89" spans="1:30" s="175" customFormat="1" x14ac:dyDescent="0.25">
      <c r="A89" s="176">
        <f>-(B86^2)*E86</f>
        <v>0</v>
      </c>
      <c r="B89" s="115">
        <f>-B86*D86*E86</f>
        <v>0</v>
      </c>
      <c r="C89" s="115">
        <f>E86*(B86^2)</f>
        <v>0</v>
      </c>
      <c r="D89" s="115">
        <f>B86*D86*E86</f>
        <v>0</v>
      </c>
      <c r="E89" s="177"/>
      <c r="F89" s="178">
        <v>7</v>
      </c>
      <c r="G89" s="174"/>
      <c r="H89" s="174"/>
      <c r="I89" s="174"/>
      <c r="J89" s="174"/>
      <c r="K89" s="174"/>
      <c r="L89" s="177"/>
      <c r="M89" s="207">
        <f>C17</f>
        <v>0</v>
      </c>
      <c r="N89" s="181"/>
      <c r="O89" s="115"/>
      <c r="Z89" s="175">
        <f>F89</f>
        <v>7</v>
      </c>
      <c r="AA89" s="175">
        <f>$Z$89*100+AA86</f>
        <v>701</v>
      </c>
      <c r="AB89" s="175">
        <f>$Z$89*100+AB86</f>
        <v>702</v>
      </c>
      <c r="AC89" s="175">
        <f>$Z$89*100+AC86</f>
        <v>707</v>
      </c>
      <c r="AD89" s="175">
        <f>$Z$89*100+AD86</f>
        <v>708</v>
      </c>
    </row>
    <row r="90" spans="1:30" s="175" customFormat="1" ht="15.75" thickBot="1" x14ac:dyDescent="0.3">
      <c r="A90" s="186">
        <f>-B86*D86*E86</f>
        <v>0</v>
      </c>
      <c r="B90" s="187">
        <f>-(D86^2)*E86</f>
        <v>0</v>
      </c>
      <c r="C90" s="187">
        <f>B86*D86*E86</f>
        <v>0</v>
      </c>
      <c r="D90" s="187">
        <f>E86*(D86^2)</f>
        <v>0</v>
      </c>
      <c r="E90" s="188"/>
      <c r="F90" s="178">
        <v>8</v>
      </c>
      <c r="G90" s="174"/>
      <c r="H90" s="174"/>
      <c r="I90" s="174"/>
      <c r="J90" s="174"/>
      <c r="K90" s="174"/>
      <c r="L90" s="177"/>
      <c r="M90" s="207">
        <f>C18</f>
        <v>0</v>
      </c>
      <c r="N90" s="181"/>
      <c r="O90" s="115"/>
      <c r="Z90" s="175">
        <f>F90</f>
        <v>8</v>
      </c>
      <c r="AA90" s="175">
        <f>$Z$90*100+AA86</f>
        <v>801</v>
      </c>
      <c r="AB90" s="175">
        <f>$Z$90*100+AB86</f>
        <v>802</v>
      </c>
      <c r="AC90" s="175">
        <f>$Z$90*100+AC86</f>
        <v>807</v>
      </c>
      <c r="AD90" s="175">
        <f>$Z$90*100+AD86</f>
        <v>808</v>
      </c>
    </row>
    <row r="91" spans="1:30" s="175" customFormat="1" ht="15.75" thickBot="1" x14ac:dyDescent="0.3">
      <c r="A91" s="175">
        <v>9</v>
      </c>
      <c r="B91" s="175">
        <v>10</v>
      </c>
      <c r="C91" s="175">
        <v>7</v>
      </c>
      <c r="D91" s="175">
        <v>8</v>
      </c>
    </row>
    <row r="92" spans="1:30" s="175" customFormat="1" x14ac:dyDescent="0.25">
      <c r="A92" s="170" t="s">
        <v>124</v>
      </c>
      <c r="B92" s="171">
        <f>(F40-D40)/C40</f>
        <v>-0.70710678118654757</v>
      </c>
      <c r="C92" s="172" t="s">
        <v>125</v>
      </c>
      <c r="D92" s="171">
        <f>(G40-E40)/C40</f>
        <v>0.70710678118654757</v>
      </c>
      <c r="E92" s="173">
        <f>(I40*C13)/(C40*100)</f>
        <v>0</v>
      </c>
      <c r="F92" s="174"/>
      <c r="G92" s="174"/>
      <c r="H92" s="174"/>
      <c r="I92" s="174"/>
      <c r="J92" s="174"/>
      <c r="K92" s="174"/>
      <c r="L92" s="174"/>
      <c r="M92" s="174"/>
      <c r="N92" s="117"/>
      <c r="O92" s="174"/>
      <c r="AA92" s="175">
        <f>A91</f>
        <v>9</v>
      </c>
      <c r="AB92" s="175">
        <f>B91</f>
        <v>10</v>
      </c>
      <c r="AC92" s="175">
        <f>C91</f>
        <v>7</v>
      </c>
      <c r="AD92" s="175">
        <f>D91</f>
        <v>8</v>
      </c>
    </row>
    <row r="93" spans="1:30" s="175" customFormat="1" x14ac:dyDescent="0.25">
      <c r="A93" s="176">
        <f>E92*(B92^2)</f>
        <v>0</v>
      </c>
      <c r="B93" s="115">
        <f>E92*D92*B92</f>
        <v>0</v>
      </c>
      <c r="C93" s="115">
        <f>-A93</f>
        <v>0</v>
      </c>
      <c r="D93" s="115">
        <f>-B92*D92*E92</f>
        <v>0</v>
      </c>
      <c r="E93" s="177"/>
      <c r="F93" s="178">
        <v>9</v>
      </c>
      <c r="G93" s="174"/>
      <c r="H93" s="179">
        <f>A91</f>
        <v>9</v>
      </c>
      <c r="I93" s="179">
        <f>B91</f>
        <v>10</v>
      </c>
      <c r="J93" s="179">
        <f>C91</f>
        <v>7</v>
      </c>
      <c r="K93" s="179">
        <f>D91</f>
        <v>8</v>
      </c>
      <c r="L93" s="177"/>
      <c r="M93" s="180">
        <f>C19</f>
        <v>0</v>
      </c>
      <c r="N93" s="181"/>
      <c r="O93" s="174"/>
      <c r="Z93" s="175">
        <f>F93</f>
        <v>9</v>
      </c>
      <c r="AA93" s="175">
        <f>$Z$93*100+AA92</f>
        <v>909</v>
      </c>
      <c r="AB93" s="175">
        <f>$Z$93*100+AB92</f>
        <v>910</v>
      </c>
      <c r="AC93" s="175">
        <f>$Z$93*100+AC92</f>
        <v>907</v>
      </c>
      <c r="AD93" s="175">
        <f>$Z$93*100+AD92</f>
        <v>908</v>
      </c>
    </row>
    <row r="94" spans="1:30" s="175" customFormat="1" ht="15.75" x14ac:dyDescent="0.25">
      <c r="A94" s="176">
        <f>E92*B92*D92</f>
        <v>0</v>
      </c>
      <c r="B94" s="115">
        <f>E92*(D92^2)</f>
        <v>0</v>
      </c>
      <c r="C94" s="115">
        <f>-B92*D92*E92</f>
        <v>0</v>
      </c>
      <c r="D94" s="115">
        <f>-(D92^2)*E92</f>
        <v>0</v>
      </c>
      <c r="E94" s="177">
        <v>9</v>
      </c>
      <c r="F94" s="178">
        <v>10</v>
      </c>
      <c r="G94" s="182" t="s">
        <v>161</v>
      </c>
      <c r="H94" s="179">
        <f>-B92*(I40*C13)/(C40*100)</f>
        <v>0</v>
      </c>
      <c r="I94" s="179">
        <f>-D92*(I40*C13)/(C40*100)</f>
        <v>0</v>
      </c>
      <c r="J94" s="179">
        <f>B92*(I40*C13)/(C40*100)</f>
        <v>0</v>
      </c>
      <c r="K94" s="183">
        <f>D92*(I40*C13)/(C40*100)</f>
        <v>0</v>
      </c>
      <c r="L94" s="177"/>
      <c r="M94" s="207">
        <f>C20</f>
        <v>0</v>
      </c>
      <c r="N94" s="184" t="s">
        <v>127</v>
      </c>
      <c r="O94" s="185">
        <f>INDEX(MMULT(H94:K94,M93:M96),1,1)</f>
        <v>0</v>
      </c>
      <c r="Z94" s="175">
        <f>F94</f>
        <v>10</v>
      </c>
      <c r="AA94" s="175">
        <f>$Z$94*100+AA92</f>
        <v>1009</v>
      </c>
      <c r="AB94" s="175">
        <f>$Z$94*100+AB92</f>
        <v>1010</v>
      </c>
      <c r="AC94" s="175">
        <f>$Z$94*100+AC92</f>
        <v>1007</v>
      </c>
      <c r="AD94" s="175">
        <f>$Z$94*100+AD92</f>
        <v>1008</v>
      </c>
    </row>
    <row r="95" spans="1:30" s="175" customFormat="1" x14ac:dyDescent="0.25">
      <c r="A95" s="176">
        <f>-(B92^2)*E92</f>
        <v>0</v>
      </c>
      <c r="B95" s="115">
        <f>-B92*D92*E92</f>
        <v>0</v>
      </c>
      <c r="C95" s="115">
        <f>E92*(B92^2)</f>
        <v>0</v>
      </c>
      <c r="D95" s="115">
        <f>B92*D92*E92</f>
        <v>0</v>
      </c>
      <c r="E95" s="177"/>
      <c r="F95" s="178">
        <v>7</v>
      </c>
      <c r="G95" s="174"/>
      <c r="H95" s="174"/>
      <c r="I95" s="174"/>
      <c r="J95" s="174"/>
      <c r="K95" s="174"/>
      <c r="L95" s="177"/>
      <c r="M95" s="207">
        <f>C17</f>
        <v>0</v>
      </c>
      <c r="N95" s="181"/>
      <c r="O95" s="115"/>
      <c r="Z95" s="175">
        <f>F95</f>
        <v>7</v>
      </c>
      <c r="AA95" s="175">
        <f>$Z$95*100+AA92</f>
        <v>709</v>
      </c>
      <c r="AB95" s="175">
        <f>$Z$95*100+AB92</f>
        <v>710</v>
      </c>
      <c r="AC95" s="175">
        <f>$Z$95*100+AC92</f>
        <v>707</v>
      </c>
      <c r="AD95" s="175">
        <f>$Z$95*100+AD92</f>
        <v>708</v>
      </c>
    </row>
    <row r="96" spans="1:30" s="175" customFormat="1" ht="15.75" thickBot="1" x14ac:dyDescent="0.3">
      <c r="A96" s="186">
        <f>-B92*D92*E92</f>
        <v>0</v>
      </c>
      <c r="B96" s="187">
        <f>-(D92^2)*E92</f>
        <v>0</v>
      </c>
      <c r="C96" s="187">
        <f>B92*D92*E92</f>
        <v>0</v>
      </c>
      <c r="D96" s="187">
        <f>E92*(D92^2)</f>
        <v>0</v>
      </c>
      <c r="E96" s="188"/>
      <c r="F96" s="178">
        <v>8</v>
      </c>
      <c r="G96" s="174"/>
      <c r="H96" s="174"/>
      <c r="I96" s="174"/>
      <c r="J96" s="174"/>
      <c r="K96" s="174"/>
      <c r="L96" s="177"/>
      <c r="M96" s="207">
        <f>C18</f>
        <v>0</v>
      </c>
      <c r="N96" s="181"/>
      <c r="O96" s="115"/>
      <c r="Z96" s="175">
        <f>F96</f>
        <v>8</v>
      </c>
      <c r="AA96" s="175">
        <f>$Z$96*100+AA92</f>
        <v>809</v>
      </c>
      <c r="AB96" s="175">
        <f>$Z$96*100+AB92</f>
        <v>810</v>
      </c>
      <c r="AC96" s="175">
        <f>$Z$96*100+AC92</f>
        <v>807</v>
      </c>
      <c r="AD96" s="175">
        <f>$Z$96*100+AD92</f>
        <v>808</v>
      </c>
    </row>
    <row r="97" spans="1:30" s="175" customFormat="1" ht="15.75" thickBot="1" x14ac:dyDescent="0.3">
      <c r="A97" s="175">
        <v>5</v>
      </c>
      <c r="B97" s="175">
        <v>6</v>
      </c>
      <c r="C97" s="175">
        <v>11</v>
      </c>
      <c r="D97" s="175">
        <v>12</v>
      </c>
    </row>
    <row r="98" spans="1:30" s="175" customFormat="1" x14ac:dyDescent="0.25">
      <c r="A98" s="170" t="s">
        <v>124</v>
      </c>
      <c r="B98" s="171">
        <f>(G41-E41)/C41</f>
        <v>0.70710678118654757</v>
      </c>
      <c r="C98" s="172" t="s">
        <v>125</v>
      </c>
      <c r="D98" s="171">
        <f>(G41-E41)/C41</f>
        <v>0.70710678118654757</v>
      </c>
      <c r="E98" s="173">
        <f>(I41*C14)/(C41*100)</f>
        <v>0</v>
      </c>
      <c r="F98" s="174"/>
      <c r="G98" s="174"/>
      <c r="H98" s="174"/>
      <c r="I98" s="174"/>
      <c r="J98" s="174"/>
      <c r="K98" s="174"/>
      <c r="L98" s="174"/>
      <c r="M98" s="174"/>
      <c r="N98" s="117"/>
      <c r="O98" s="174"/>
      <c r="AA98" s="175">
        <f>A97</f>
        <v>5</v>
      </c>
      <c r="AB98" s="175">
        <f>B97</f>
        <v>6</v>
      </c>
      <c r="AC98" s="175">
        <f>C97</f>
        <v>11</v>
      </c>
      <c r="AD98" s="175">
        <f>D97</f>
        <v>12</v>
      </c>
    </row>
    <row r="99" spans="1:30" s="175" customFormat="1" x14ac:dyDescent="0.25">
      <c r="A99" s="176">
        <f>E98*(B98^2)</f>
        <v>0</v>
      </c>
      <c r="B99" s="115">
        <f>E98*D98*B98</f>
        <v>0</v>
      </c>
      <c r="C99" s="115">
        <f>-A99</f>
        <v>0</v>
      </c>
      <c r="D99" s="115">
        <f>-B98*D98*E98</f>
        <v>0</v>
      </c>
      <c r="E99" s="177"/>
      <c r="F99" s="178">
        <v>5</v>
      </c>
      <c r="G99" s="174"/>
      <c r="H99" s="179">
        <f>A97</f>
        <v>5</v>
      </c>
      <c r="I99" s="179">
        <f>B97</f>
        <v>6</v>
      </c>
      <c r="J99" s="179">
        <f>C97</f>
        <v>11</v>
      </c>
      <c r="K99" s="179">
        <f>D97</f>
        <v>12</v>
      </c>
      <c r="L99" s="177"/>
      <c r="M99" s="207">
        <f>C15</f>
        <v>0</v>
      </c>
      <c r="N99" s="181"/>
      <c r="O99" s="174"/>
      <c r="Z99" s="175">
        <f>F99</f>
        <v>5</v>
      </c>
      <c r="AA99" s="175">
        <f>$Z$99*100+AA98</f>
        <v>505</v>
      </c>
      <c r="AB99" s="175">
        <f>$Z$99*100+AB98</f>
        <v>506</v>
      </c>
      <c r="AC99" s="175">
        <f>$Z$99*100+AC98</f>
        <v>511</v>
      </c>
      <c r="AD99" s="175">
        <f>$Z$99*100+AD98</f>
        <v>512</v>
      </c>
    </row>
    <row r="100" spans="1:30" s="175" customFormat="1" ht="15.75" x14ac:dyDescent="0.25">
      <c r="A100" s="176">
        <f>E98*B98*D98</f>
        <v>0</v>
      </c>
      <c r="B100" s="115">
        <f>E98*(D98^2)</f>
        <v>0</v>
      </c>
      <c r="C100" s="115">
        <f>-B98*D98*E98</f>
        <v>0</v>
      </c>
      <c r="D100" s="115">
        <f>-(D98^2)*E98</f>
        <v>0</v>
      </c>
      <c r="E100" s="177">
        <v>10</v>
      </c>
      <c r="F100" s="178">
        <v>6</v>
      </c>
      <c r="G100" s="182" t="s">
        <v>162</v>
      </c>
      <c r="H100" s="179">
        <f>-B98*(I41*C14)/(C41*100)</f>
        <v>0</v>
      </c>
      <c r="I100" s="179">
        <f>-D98*(I41*C14)/(C41*100)</f>
        <v>0</v>
      </c>
      <c r="J100" s="179">
        <f>B98*(I41*C14)/(C41*100)</f>
        <v>0</v>
      </c>
      <c r="K100" s="183">
        <f>D98*(I41*C14)/(C41*100)</f>
        <v>0</v>
      </c>
      <c r="L100" s="177"/>
      <c r="M100" s="207">
        <f>C16</f>
        <v>0</v>
      </c>
      <c r="N100" s="184" t="s">
        <v>127</v>
      </c>
      <c r="O100" s="185">
        <f>INDEX(MMULT(H100:K100,M99:M102),1,1)</f>
        <v>0</v>
      </c>
      <c r="Z100" s="175">
        <f>F100</f>
        <v>6</v>
      </c>
      <c r="AA100" s="175">
        <f>$Z$100*100+AA98</f>
        <v>605</v>
      </c>
      <c r="AB100" s="175">
        <f>$Z$100*100+AB98</f>
        <v>606</v>
      </c>
      <c r="AC100" s="175">
        <f>$Z$100*100+AC98</f>
        <v>611</v>
      </c>
      <c r="AD100" s="175">
        <f>$Z$100*100+AD98</f>
        <v>612</v>
      </c>
    </row>
    <row r="101" spans="1:30" s="175" customFormat="1" x14ac:dyDescent="0.25">
      <c r="A101" s="176">
        <f>-(B98^2)*E98</f>
        <v>0</v>
      </c>
      <c r="B101" s="115">
        <f>-B98*D98*E98</f>
        <v>0</v>
      </c>
      <c r="C101" s="115">
        <f>E98*(B98^2)</f>
        <v>0</v>
      </c>
      <c r="D101" s="115">
        <f>B98*D98*E98</f>
        <v>0</v>
      </c>
      <c r="E101" s="177"/>
      <c r="F101" s="178">
        <v>11</v>
      </c>
      <c r="G101" s="174"/>
      <c r="H101" s="174"/>
      <c r="I101" s="174"/>
      <c r="J101" s="174"/>
      <c r="K101" s="174"/>
      <c r="L101" s="177"/>
      <c r="M101" s="207">
        <f>C21</f>
        <v>0</v>
      </c>
      <c r="N101" s="181"/>
      <c r="O101" s="115"/>
      <c r="Z101" s="175">
        <f>F101</f>
        <v>11</v>
      </c>
      <c r="AA101" s="175">
        <f>$Z$101*100+AA98</f>
        <v>1105</v>
      </c>
      <c r="AB101" s="175">
        <f>$Z$101*100+AB98</f>
        <v>1106</v>
      </c>
      <c r="AC101" s="175">
        <f>$Z$101*100+AC98</f>
        <v>1111</v>
      </c>
      <c r="AD101" s="175">
        <f>$Z$101*100+AD98</f>
        <v>1112</v>
      </c>
    </row>
    <row r="102" spans="1:30" s="175" customFormat="1" ht="15.75" thickBot="1" x14ac:dyDescent="0.3">
      <c r="A102" s="186">
        <f>-B98*D98*E98</f>
        <v>0</v>
      </c>
      <c r="B102" s="187">
        <f>-(D98^2)*E98</f>
        <v>0</v>
      </c>
      <c r="C102" s="187">
        <f>B98*D98*E98</f>
        <v>0</v>
      </c>
      <c r="D102" s="187">
        <f>E98*(D98^2)</f>
        <v>0</v>
      </c>
      <c r="E102" s="188"/>
      <c r="F102" s="178">
        <v>12</v>
      </c>
      <c r="G102" s="174"/>
      <c r="H102" s="174"/>
      <c r="I102" s="174"/>
      <c r="J102" s="174"/>
      <c r="K102" s="174"/>
      <c r="L102" s="177"/>
      <c r="M102" s="207">
        <f>C22</f>
        <v>0</v>
      </c>
      <c r="N102" s="181"/>
      <c r="O102" s="115"/>
      <c r="Z102" s="175">
        <f>F102</f>
        <v>12</v>
      </c>
      <c r="AA102" s="175">
        <f>$Z$102*100+AA98</f>
        <v>1205</v>
      </c>
      <c r="AB102" s="175">
        <f>$Z$102*100+AB98</f>
        <v>1206</v>
      </c>
      <c r="AC102" s="175">
        <f>$Z$102*100+AC98</f>
        <v>1211</v>
      </c>
      <c r="AD102" s="175">
        <f>$Z$102*100+AD98</f>
        <v>1212</v>
      </c>
    </row>
    <row r="103" spans="1:30" s="175" customFormat="1" x14ac:dyDescent="0.25"/>
    <row r="105" spans="1:30" x14ac:dyDescent="0.25">
      <c r="D105" s="59"/>
      <c r="E105" s="59"/>
      <c r="F105" s="59"/>
      <c r="G105" s="59"/>
      <c r="H105" s="59"/>
      <c r="I105" s="59"/>
      <c r="J105" s="59"/>
      <c r="K105" s="59"/>
    </row>
    <row r="106" spans="1:30" x14ac:dyDescent="0.25">
      <c r="D106" s="59"/>
      <c r="E106" s="115">
        <v>1</v>
      </c>
      <c r="F106" s="115">
        <v>2</v>
      </c>
      <c r="G106" s="115">
        <v>3</v>
      </c>
      <c r="H106" s="115">
        <v>4</v>
      </c>
      <c r="I106" s="115">
        <v>5</v>
      </c>
      <c r="J106" s="115">
        <v>6</v>
      </c>
      <c r="K106" s="115">
        <v>7</v>
      </c>
      <c r="L106" s="115">
        <v>8</v>
      </c>
      <c r="M106" s="115">
        <v>9</v>
      </c>
      <c r="N106" s="115">
        <v>10</v>
      </c>
      <c r="O106" s="115">
        <v>11</v>
      </c>
      <c r="P106" s="115">
        <v>12</v>
      </c>
    </row>
    <row r="107" spans="1:30" x14ac:dyDescent="0.25">
      <c r="D107" s="113">
        <v>1</v>
      </c>
      <c r="E107" s="179">
        <f>SUMIF($AA$45:$AD$102,$D$107*100+E106,$A$45:$D$102)</f>
        <v>0</v>
      </c>
      <c r="F107" s="179">
        <f t="shared" ref="F107:P107" si="5">SUMIF($AA$45:$AD$102,$D$107*100+F106,$A$45:$D$102)</f>
        <v>0</v>
      </c>
      <c r="G107" s="179">
        <f t="shared" si="5"/>
        <v>0</v>
      </c>
      <c r="H107" s="191">
        <f t="shared" si="5"/>
        <v>0</v>
      </c>
      <c r="I107" s="179">
        <f t="shared" si="5"/>
        <v>0</v>
      </c>
      <c r="J107" s="179">
        <f t="shared" si="5"/>
        <v>0</v>
      </c>
      <c r="K107" s="179">
        <f t="shared" si="5"/>
        <v>0</v>
      </c>
      <c r="L107" s="179">
        <f t="shared" si="5"/>
        <v>0</v>
      </c>
      <c r="M107" s="179">
        <f t="shared" si="5"/>
        <v>0</v>
      </c>
      <c r="N107" s="179">
        <f t="shared" si="5"/>
        <v>0</v>
      </c>
      <c r="O107" s="179">
        <f t="shared" si="5"/>
        <v>0</v>
      </c>
      <c r="P107" s="183">
        <f t="shared" si="5"/>
        <v>0</v>
      </c>
      <c r="Q107" s="193"/>
      <c r="R107" s="121">
        <v>0</v>
      </c>
      <c r="S107" s="193"/>
      <c r="T107" s="121" t="s">
        <v>128</v>
      </c>
    </row>
    <row r="108" spans="1:30" x14ac:dyDescent="0.25">
      <c r="D108" s="113">
        <v>2</v>
      </c>
      <c r="E108" s="179">
        <f>SUMIF($AA$45:$AD$102,$D$108*100+E106,$A$45:$D$102)</f>
        <v>0</v>
      </c>
      <c r="F108" s="179">
        <f t="shared" ref="F108:P108" si="6">SUMIF($AA$45:$AD$102,$D$108*100+F106,$A$45:$D$102)</f>
        <v>0</v>
      </c>
      <c r="G108" s="179">
        <f t="shared" si="6"/>
        <v>0</v>
      </c>
      <c r="H108" s="191">
        <f t="shared" si="6"/>
        <v>0</v>
      </c>
      <c r="I108" s="179">
        <f t="shared" si="6"/>
        <v>0</v>
      </c>
      <c r="J108" s="179">
        <f t="shared" si="6"/>
        <v>0</v>
      </c>
      <c r="K108" s="179">
        <f t="shared" si="6"/>
        <v>0</v>
      </c>
      <c r="L108" s="179">
        <f t="shared" si="6"/>
        <v>0</v>
      </c>
      <c r="M108" s="179">
        <f t="shared" si="6"/>
        <v>0</v>
      </c>
      <c r="N108" s="179">
        <f t="shared" si="6"/>
        <v>0</v>
      </c>
      <c r="O108" s="179">
        <f t="shared" si="6"/>
        <v>0</v>
      </c>
      <c r="P108" s="183">
        <f t="shared" si="6"/>
        <v>0</v>
      </c>
      <c r="Q108" s="193"/>
      <c r="R108" s="121">
        <v>0</v>
      </c>
      <c r="S108" s="193"/>
      <c r="T108" s="121" t="s">
        <v>129</v>
      </c>
    </row>
    <row r="109" spans="1:30" x14ac:dyDescent="0.25">
      <c r="D109" s="113">
        <v>3</v>
      </c>
      <c r="E109" s="179">
        <f>SUMIF($AA$45:$AD$102,$D$109*100+E106,$A$45:$D$102)</f>
        <v>0</v>
      </c>
      <c r="F109" s="179">
        <f t="shared" ref="F109:P109" si="7">SUMIF($AA$45:$AD$102,$D$109*100+F106,$A$45:$D$102)</f>
        <v>0</v>
      </c>
      <c r="G109" s="179">
        <f t="shared" si="7"/>
        <v>0</v>
      </c>
      <c r="H109" s="191">
        <f t="shared" si="7"/>
        <v>0</v>
      </c>
      <c r="I109" s="179">
        <f t="shared" si="7"/>
        <v>0</v>
      </c>
      <c r="J109" s="179">
        <f t="shared" si="7"/>
        <v>0</v>
      </c>
      <c r="K109" s="179">
        <f t="shared" si="7"/>
        <v>0</v>
      </c>
      <c r="L109" s="179">
        <f t="shared" si="7"/>
        <v>0</v>
      </c>
      <c r="M109" s="179">
        <f t="shared" si="7"/>
        <v>0</v>
      </c>
      <c r="N109" s="179">
        <f t="shared" si="7"/>
        <v>0</v>
      </c>
      <c r="O109" s="179">
        <f t="shared" si="7"/>
        <v>0</v>
      </c>
      <c r="P109" s="183">
        <f t="shared" si="7"/>
        <v>0</v>
      </c>
      <c r="Q109" s="193"/>
      <c r="R109" s="121">
        <v>0</v>
      </c>
      <c r="S109" s="193"/>
      <c r="T109" s="121" t="s">
        <v>177</v>
      </c>
    </row>
    <row r="110" spans="1:30" ht="15.75" thickBot="1" x14ac:dyDescent="0.3">
      <c r="D110" s="113">
        <v>4</v>
      </c>
      <c r="E110" s="189">
        <f>SUMIF($AA$45:$AD$102,$D$110*100+E106,$A$45:$D$102)</f>
        <v>0</v>
      </c>
      <c r="F110" s="189">
        <f t="shared" ref="F110:P110" si="8">SUMIF($AA$45:$AD$102,$D$110*100+F106,$A$45:$D$102)</f>
        <v>0</v>
      </c>
      <c r="G110" s="189">
        <f t="shared" si="8"/>
        <v>0</v>
      </c>
      <c r="H110" s="192">
        <f t="shared" si="8"/>
        <v>0</v>
      </c>
      <c r="I110" s="189">
        <f t="shared" si="8"/>
        <v>0</v>
      </c>
      <c r="J110" s="189">
        <f t="shared" si="8"/>
        <v>0</v>
      </c>
      <c r="K110" s="189">
        <f t="shared" si="8"/>
        <v>0</v>
      </c>
      <c r="L110" s="189">
        <f t="shared" si="8"/>
        <v>0</v>
      </c>
      <c r="M110" s="189">
        <f t="shared" si="8"/>
        <v>0</v>
      </c>
      <c r="N110" s="189">
        <f t="shared" si="8"/>
        <v>0</v>
      </c>
      <c r="O110" s="189">
        <f t="shared" si="8"/>
        <v>0</v>
      </c>
      <c r="P110" s="190">
        <f t="shared" si="8"/>
        <v>0</v>
      </c>
      <c r="Q110" s="193"/>
      <c r="R110" s="121">
        <v>0</v>
      </c>
      <c r="S110" s="193"/>
      <c r="T110" s="121" t="s">
        <v>178</v>
      </c>
    </row>
    <row r="111" spans="1:30" x14ac:dyDescent="0.25">
      <c r="D111" s="113">
        <v>5</v>
      </c>
      <c r="E111" s="179">
        <f>SUMIF($AA$45:$AD$102,$D$111*100+E106,$A$45:$D$102)</f>
        <v>0</v>
      </c>
      <c r="F111" s="179">
        <f>SUMIF($AA$45:$AD$102,$D$111*100+F106,$A$45:$D$102)</f>
        <v>0</v>
      </c>
      <c r="G111" s="179">
        <f>SUMIF($AA$45:$AD$102,$D$111*100+G106,$A$45:$D$102)</f>
        <v>0</v>
      </c>
      <c r="H111" s="191">
        <f>SUMIF($AA$45:$AD$102,$D$111*100+H106,$A$45:$D$102)</f>
        <v>0</v>
      </c>
      <c r="I111" s="211">
        <f>C59+A63+A69+A81+A99</f>
        <v>0</v>
      </c>
      <c r="J111" s="179">
        <f>D59+B63+B69+B81+B99</f>
        <v>0</v>
      </c>
      <c r="K111" s="179">
        <f>C69</f>
        <v>0</v>
      </c>
      <c r="L111" s="179">
        <f>D69</f>
        <v>0</v>
      </c>
      <c r="M111" s="179">
        <f>C63</f>
        <v>0</v>
      </c>
      <c r="N111" s="179">
        <f>D63</f>
        <v>0</v>
      </c>
      <c r="O111" s="179">
        <f>C99</f>
        <v>0</v>
      </c>
      <c r="P111" s="183">
        <f>D99</f>
        <v>0</v>
      </c>
      <c r="Q111" s="193"/>
      <c r="R111" s="121" t="s">
        <v>132</v>
      </c>
      <c r="S111" s="193"/>
      <c r="T111" s="180">
        <f>T34*1000</f>
        <v>0</v>
      </c>
    </row>
    <row r="112" spans="1:30" x14ac:dyDescent="0.25">
      <c r="D112" s="113">
        <v>6</v>
      </c>
      <c r="E112" s="179">
        <f>SUMIF($AA$45:$AD$102,$D$112*100+E106,$A$45:$D$102)</f>
        <v>0</v>
      </c>
      <c r="F112" s="179">
        <f>SUMIF($AA$45:$AD$102,$D$112*100+F106,$A$45:$D$102)</f>
        <v>0</v>
      </c>
      <c r="G112" s="179">
        <f>SUMIF($AA$45:$AD$102,$D$112*100+G106,$A$45:$D$102)</f>
        <v>0</v>
      </c>
      <c r="H112" s="191">
        <f>SUMIF($AA$45:$AD$102,$D$112*100+H106,$A$45:$D$102)</f>
        <v>0</v>
      </c>
      <c r="I112" s="179">
        <f>C60+A64+A70+A82+A100</f>
        <v>0</v>
      </c>
      <c r="J112" s="211">
        <f>D60+B64+B70+B82+B100</f>
        <v>0</v>
      </c>
      <c r="K112" s="179">
        <f>C70</f>
        <v>0</v>
      </c>
      <c r="L112" s="179">
        <f>D70</f>
        <v>0</v>
      </c>
      <c r="M112" s="179">
        <f>C64</f>
        <v>0</v>
      </c>
      <c r="N112" s="179">
        <f>D64</f>
        <v>0</v>
      </c>
      <c r="O112" s="179">
        <f>C100</f>
        <v>0</v>
      </c>
      <c r="P112" s="183">
        <f>D100</f>
        <v>0</v>
      </c>
      <c r="Q112" s="193"/>
      <c r="R112" s="121" t="s">
        <v>133</v>
      </c>
      <c r="S112" s="193"/>
      <c r="T112" s="121">
        <f>U34*1000</f>
        <v>-5000</v>
      </c>
    </row>
    <row r="113" spans="3:20" x14ac:dyDescent="0.25">
      <c r="D113" s="113">
        <v>7</v>
      </c>
      <c r="E113" s="179">
        <f>SUMIF($AA$45:$AD$102,$D$113*100+E106,$A$45:$D$102)</f>
        <v>0</v>
      </c>
      <c r="F113" s="179">
        <f>SUMIF($AA$45:$AD$102,$D$113*100+F106,$A$45:$D$102)</f>
        <v>0</v>
      </c>
      <c r="G113" s="179">
        <f>SUMIF($AA$45:$AD$102,$D$113*100+G106,$A$45:$D$102)</f>
        <v>0</v>
      </c>
      <c r="H113" s="191">
        <f>SUMIF($AA$45:$AD$102,$D$113*100+H106,$A$45:$D$102)</f>
        <v>0</v>
      </c>
      <c r="I113" s="179">
        <f>A71</f>
        <v>0</v>
      </c>
      <c r="J113" s="179">
        <f>B71</f>
        <v>0</v>
      </c>
      <c r="K113" s="211">
        <f>C47+A51+C71+C89+C95</f>
        <v>0</v>
      </c>
      <c r="L113" s="179">
        <f>D47+B51+D71+D89+D95</f>
        <v>0</v>
      </c>
      <c r="M113" s="179">
        <f>A95</f>
        <v>0</v>
      </c>
      <c r="N113" s="179">
        <f>B95</f>
        <v>0</v>
      </c>
      <c r="O113" s="179">
        <f>C51</f>
        <v>0</v>
      </c>
      <c r="P113" s="183">
        <f>D51</f>
        <v>0</v>
      </c>
      <c r="Q113" s="193"/>
      <c r="R113" s="121" t="s">
        <v>171</v>
      </c>
      <c r="S113" s="193"/>
      <c r="T113" s="121">
        <f>T33*1000</f>
        <v>0</v>
      </c>
    </row>
    <row r="114" spans="3:20" x14ac:dyDescent="0.25">
      <c r="D114" s="113">
        <v>8</v>
      </c>
      <c r="E114" s="179">
        <f>SUMIF($AA$45:$AD$102,$D$114*100+E106,$A$45:$D$102)</f>
        <v>0</v>
      </c>
      <c r="F114" s="179">
        <f>SUMIF($AA$45:$AD$102,$D$114*100+F106,$A$45:$D$102)</f>
        <v>0</v>
      </c>
      <c r="G114" s="179">
        <f>SUMIF($AA$45:$AD$102,$D$114*100+G106,$A$45:$D$102)</f>
        <v>0</v>
      </c>
      <c r="H114" s="191">
        <f>SUMIF($AA$45:$AD$102,$D$114*100+H106,$A$45:$D$102)</f>
        <v>0</v>
      </c>
      <c r="I114" s="179">
        <f>A72</f>
        <v>0</v>
      </c>
      <c r="J114" s="179">
        <f>B72</f>
        <v>0</v>
      </c>
      <c r="K114" s="179">
        <f>C48+A52+C72+C90+C96</f>
        <v>0</v>
      </c>
      <c r="L114" s="211">
        <f>D48+B52+D72+D90+D96</f>
        <v>0</v>
      </c>
      <c r="M114" s="179">
        <f>A96</f>
        <v>0</v>
      </c>
      <c r="N114" s="179">
        <f>B96</f>
        <v>0</v>
      </c>
      <c r="O114" s="179">
        <f>C52</f>
        <v>0</v>
      </c>
      <c r="P114" s="183">
        <f>D52</f>
        <v>0</v>
      </c>
      <c r="Q114" s="193"/>
      <c r="R114" s="121" t="s">
        <v>172</v>
      </c>
      <c r="S114" s="193"/>
      <c r="T114" s="121">
        <f>U33*1000</f>
        <v>0</v>
      </c>
    </row>
    <row r="115" spans="3:20" x14ac:dyDescent="0.25">
      <c r="D115" s="113">
        <v>9</v>
      </c>
      <c r="E115" s="179">
        <f>SUMIF($AA$45:$AD$102,$D$115*100+E106,$A$45:$D$102)</f>
        <v>0</v>
      </c>
      <c r="F115" s="179">
        <f>SUMIF($AA$45:$AD$102,$D$115*100+F106,$A$45:$D$102)</f>
        <v>0</v>
      </c>
      <c r="G115" s="179">
        <f>SUMIF($AA$45:$AD$102,$D$115*100+G106,$A$45:$D$102)</f>
        <v>0</v>
      </c>
      <c r="H115" s="191">
        <f>SUMIF($AA$45:$AD$102,$D$115*100+H106,$A$45:$D$102)</f>
        <v>0</v>
      </c>
      <c r="I115" s="179">
        <f>A65</f>
        <v>0</v>
      </c>
      <c r="J115" s="179">
        <f>B65</f>
        <v>0</v>
      </c>
      <c r="K115" s="179">
        <f>C93</f>
        <v>0</v>
      </c>
      <c r="L115" s="179">
        <f>D93</f>
        <v>0</v>
      </c>
      <c r="M115" s="211">
        <f>C65+A75+A93</f>
        <v>0</v>
      </c>
      <c r="N115" s="179">
        <f>B93</f>
        <v>0</v>
      </c>
      <c r="O115" s="179">
        <f>C75</f>
        <v>0</v>
      </c>
      <c r="P115" s="183">
        <f>D75</f>
        <v>0</v>
      </c>
      <c r="Q115" s="193"/>
      <c r="R115" s="121" t="s">
        <v>173</v>
      </c>
      <c r="S115" s="193"/>
      <c r="T115" s="121">
        <f>T32*1000</f>
        <v>0</v>
      </c>
    </row>
    <row r="116" spans="3:20" x14ac:dyDescent="0.25">
      <c r="D116" s="113">
        <v>10</v>
      </c>
      <c r="E116" s="179">
        <f>SUMIF($AA$45:$AD$102,$D$116*100+E106,$A$45:$D$102)</f>
        <v>0</v>
      </c>
      <c r="F116" s="179">
        <f>SUMIF($AA$45:$AD$102,$D$116*100+F106,$A$45:$D$102)</f>
        <v>0</v>
      </c>
      <c r="G116" s="179">
        <f>SUMIF($AA$45:$AD$102,$D$116*100+G106,$A$45:$D$102)</f>
        <v>0</v>
      </c>
      <c r="H116" s="191">
        <f>SUMIF($AA$45:$AD$102,$D$116*100+H106,$A$45:$D$102)</f>
        <v>0</v>
      </c>
      <c r="I116" s="179">
        <f>A66</f>
        <v>0</v>
      </c>
      <c r="J116" s="179">
        <f>B66</f>
        <v>0</v>
      </c>
      <c r="K116" s="179">
        <f>C94</f>
        <v>0</v>
      </c>
      <c r="L116" s="179">
        <f>D94</f>
        <v>0</v>
      </c>
      <c r="M116" s="179">
        <f>C66+A76+A94</f>
        <v>0</v>
      </c>
      <c r="N116" s="211">
        <f>D66+B76+B94</f>
        <v>0</v>
      </c>
      <c r="O116" s="179">
        <f>C76</f>
        <v>0</v>
      </c>
      <c r="P116" s="183">
        <f>D76</f>
        <v>0</v>
      </c>
      <c r="Q116" s="193"/>
      <c r="R116" s="121" t="s">
        <v>174</v>
      </c>
      <c r="S116" s="193"/>
      <c r="T116" s="121">
        <f>U32*1000</f>
        <v>-5000</v>
      </c>
    </row>
    <row r="117" spans="3:20" x14ac:dyDescent="0.25">
      <c r="D117" s="113">
        <v>11</v>
      </c>
      <c r="E117" s="179">
        <f>SUMIF($AA$45:$AD$102,$D$117*100+E106,$A$45:$D$102)</f>
        <v>0</v>
      </c>
      <c r="F117" s="179">
        <f>SUMIF($AA$45:$AD$102,$D$117*100+F106,$A$45:$D$102)</f>
        <v>0</v>
      </c>
      <c r="G117" s="179">
        <f>SUMIF($AA$45:$AD$102,$D$117*100+G106,$A$45:$D$102)</f>
        <v>0</v>
      </c>
      <c r="H117" s="191">
        <f>SUMIF($AA$45:$AD$102,$D$117*100+H106,$A$45:$D$102)</f>
        <v>0</v>
      </c>
      <c r="I117" s="179">
        <f>A101</f>
        <v>0</v>
      </c>
      <c r="J117" s="179">
        <f>B101</f>
        <v>0</v>
      </c>
      <c r="K117" s="179">
        <f>A53</f>
        <v>0</v>
      </c>
      <c r="L117" s="179">
        <f>B53</f>
        <v>0</v>
      </c>
      <c r="M117" s="179">
        <f>A77</f>
        <v>0</v>
      </c>
      <c r="N117" s="179">
        <f>B77</f>
        <v>0</v>
      </c>
      <c r="O117" s="211">
        <f>C53+C77+C101</f>
        <v>0</v>
      </c>
      <c r="P117" s="183">
        <f>D53+D77+D101</f>
        <v>0</v>
      </c>
      <c r="Q117" s="193"/>
      <c r="R117" s="121" t="s">
        <v>175</v>
      </c>
      <c r="S117" s="193"/>
      <c r="T117" s="121">
        <f>T31*1000</f>
        <v>0</v>
      </c>
    </row>
    <row r="118" spans="3:20" x14ac:dyDescent="0.25">
      <c r="D118" s="113">
        <v>12</v>
      </c>
      <c r="E118" s="179">
        <f>SUMIF($AA$45:$AD$102,$D$118*100+E106,$A$45:$D$102)</f>
        <v>0</v>
      </c>
      <c r="F118" s="179">
        <f>SUMIF($AA$45:$AD$102,$D$118*100+F106,$A$45:$D$102)</f>
        <v>0</v>
      </c>
      <c r="G118" s="179">
        <f>SUMIF($AA$45:$AD$102,$D$118*100+G106,$A$45:$D$102)</f>
        <v>0</v>
      </c>
      <c r="H118" s="191">
        <f>SUMIF($AA$45:$AD$102,$D$118*100+H106,$A$45:$D$102)</f>
        <v>0</v>
      </c>
      <c r="I118" s="179">
        <f>A102</f>
        <v>0</v>
      </c>
      <c r="J118" s="179">
        <f>B102</f>
        <v>0</v>
      </c>
      <c r="K118" s="179">
        <f>A54</f>
        <v>0</v>
      </c>
      <c r="L118" s="179">
        <f>B54</f>
        <v>0</v>
      </c>
      <c r="M118" s="179">
        <f>A78</f>
        <v>0</v>
      </c>
      <c r="N118" s="179">
        <f>B78</f>
        <v>0</v>
      </c>
      <c r="O118" s="179">
        <f>C54+C78+C102</f>
        <v>0</v>
      </c>
      <c r="P118" s="212">
        <f>D54+D78+D102</f>
        <v>0</v>
      </c>
      <c r="Q118" s="193"/>
      <c r="R118" s="121" t="s">
        <v>176</v>
      </c>
      <c r="S118" s="193"/>
      <c r="T118" s="121">
        <f>T31*1000</f>
        <v>0</v>
      </c>
    </row>
    <row r="119" spans="3:20" x14ac:dyDescent="0.25">
      <c r="D119" s="59"/>
      <c r="E119" s="115"/>
      <c r="F119" s="115"/>
      <c r="G119" s="115"/>
      <c r="H119" s="115"/>
      <c r="I119" s="115"/>
      <c r="J119" s="115"/>
      <c r="K119" s="115"/>
      <c r="M119" s="117"/>
      <c r="O119" s="59"/>
      <c r="P119" s="59"/>
      <c r="R119" s="115"/>
      <c r="T119" s="115"/>
    </row>
    <row r="120" spans="3:20" ht="15.75" thickBot="1" x14ac:dyDescent="0.3"/>
    <row r="121" spans="3:20" ht="15.75" thickBot="1" x14ac:dyDescent="0.3">
      <c r="C121" s="326" t="s">
        <v>201</v>
      </c>
      <c r="D121" s="327"/>
      <c r="E121" s="327"/>
      <c r="F121" s="328"/>
      <c r="H121" s="389" t="s">
        <v>199</v>
      </c>
      <c r="I121" s="389"/>
      <c r="J121" s="389"/>
    </row>
    <row r="122" spans="3:20" s="175" customFormat="1" ht="15.75" thickBot="1" x14ac:dyDescent="0.3">
      <c r="C122" s="340" t="s">
        <v>179</v>
      </c>
      <c r="D122" s="340"/>
      <c r="E122" s="340"/>
      <c r="F122" s="200">
        <f>I111*C15+J111*C16+K111*C17+L111*C18+M111*C19+N111*C20+O111*C21+P111*C22-T111</f>
        <v>0</v>
      </c>
      <c r="H122" s="385" t="s">
        <v>191</v>
      </c>
      <c r="I122" s="209" t="s">
        <v>195</v>
      </c>
      <c r="J122" s="210">
        <f>(-K33)+(-K41*(C25/SQRT(C25^2+C26^2)))+T31*1000</f>
        <v>0</v>
      </c>
    </row>
    <row r="123" spans="3:20" s="175" customFormat="1" ht="15.75" thickBot="1" x14ac:dyDescent="0.3">
      <c r="C123" s="340" t="s">
        <v>181</v>
      </c>
      <c r="D123" s="340"/>
      <c r="E123" s="340"/>
      <c r="F123" s="200">
        <f>I112*C15+J112*C16+K112*C17+L112*C18+M112*C19+N112*C20+O112*C21+P112*C22-T112</f>
        <v>5000</v>
      </c>
      <c r="H123" s="386"/>
      <c r="I123" s="209" t="s">
        <v>196</v>
      </c>
      <c r="J123" s="210">
        <f>(-K41*(C26/SQRT(C25^2+C26^2)))+(-K37)+U31*1000</f>
        <v>0</v>
      </c>
    </row>
    <row r="124" spans="3:20" s="175" customFormat="1" ht="15.75" thickBot="1" x14ac:dyDescent="0.3">
      <c r="C124" s="340" t="s">
        <v>182</v>
      </c>
      <c r="D124" s="340"/>
      <c r="E124" s="340"/>
      <c r="F124" s="200">
        <f>I113*C15+J113*C16+K113*C17+L113*C18+M113*C19+N113*C20+O113*C21+P113*C22-T113</f>
        <v>0</v>
      </c>
      <c r="H124" s="385" t="s">
        <v>192</v>
      </c>
      <c r="I124" s="209" t="s">
        <v>195</v>
      </c>
      <c r="J124" s="210">
        <f>(K35)+(+K40*(C25/SQRT(C25^2+C26^2)))+T32*1000</f>
        <v>0</v>
      </c>
    </row>
    <row r="125" spans="3:20" s="175" customFormat="1" ht="15.75" thickBot="1" x14ac:dyDescent="0.3">
      <c r="C125" s="340" t="s">
        <v>183</v>
      </c>
      <c r="D125" s="340"/>
      <c r="E125" s="340"/>
      <c r="F125" s="200">
        <f>I114*C15+J114*C16+K114*C17+L114*C18+M114*C19+N114*C20+O114*C21+P114*C22-T114</f>
        <v>0</v>
      </c>
      <c r="H125" s="386"/>
      <c r="I125" s="209" t="s">
        <v>196</v>
      </c>
      <c r="J125" s="210">
        <f>K37+(K40*(C26/SQRT(C25^2+C26^2)))+U32*1000</f>
        <v>-5000</v>
      </c>
    </row>
    <row r="126" spans="3:20" s="175" customFormat="1" ht="15.75" thickBot="1" x14ac:dyDescent="0.3">
      <c r="C126" s="340" t="s">
        <v>184</v>
      </c>
      <c r="D126" s="340"/>
      <c r="E126" s="340"/>
      <c r="F126" s="200">
        <f>I115*C15+J115*C16+K115*C17+L115*C18+M115*C19+N115*C20+O115*C21+P115*C22-T115</f>
        <v>0</v>
      </c>
      <c r="H126" s="388" t="s">
        <v>193</v>
      </c>
      <c r="I126" s="209" t="s">
        <v>195</v>
      </c>
      <c r="J126" s="210">
        <f>(-K32)+K33+(-K39*(C25/SQRT(C25^2+C26^2)))+(K40*(C25/SQRT(C25^2+C26^2)))+T33*1000</f>
        <v>0</v>
      </c>
    </row>
    <row r="127" spans="3:20" s="175" customFormat="1" ht="15.75" thickBot="1" x14ac:dyDescent="0.3">
      <c r="C127" s="340" t="s">
        <v>185</v>
      </c>
      <c r="D127" s="340"/>
      <c r="E127" s="340"/>
      <c r="F127" s="200">
        <f>I116*C15+J116*C16+K116*C17+L116*C18+M116*C19+N116*C20+O116*C21+P116*C22-T116</f>
        <v>5000</v>
      </c>
      <c r="H127" s="388"/>
      <c r="I127" s="209" t="s">
        <v>196</v>
      </c>
      <c r="J127" s="210">
        <f>-K36+(-K39*(C26/SQRT(C25^2+C26^2)))+(-K40*(C26/SQRT(C25^2+C26^2)))+U33*1000</f>
        <v>0</v>
      </c>
    </row>
    <row r="128" spans="3:20" s="175" customFormat="1" ht="15.75" thickBot="1" x14ac:dyDescent="0.3">
      <c r="C128" s="340" t="s">
        <v>186</v>
      </c>
      <c r="D128" s="340"/>
      <c r="E128" s="340"/>
      <c r="F128" s="200">
        <f>I117*C15+J117*C16+K117*C17+L117*C18+M117*C19+N117*C20+O117*C21+P117*C22-T117</f>
        <v>0</v>
      </c>
      <c r="H128" s="388" t="s">
        <v>194</v>
      </c>
      <c r="I128" s="209" t="s">
        <v>195</v>
      </c>
      <c r="J128" s="210">
        <f>-K34+K35+(-K38*(C25/SQRT(C25^2+C26^2)))+(K41*(C25/SQRT(C25^2+C26^2)))+T34*1000</f>
        <v>0</v>
      </c>
    </row>
    <row r="129" spans="2:10" s="175" customFormat="1" ht="15.75" thickBot="1" x14ac:dyDescent="0.3">
      <c r="C129" s="340" t="s">
        <v>187</v>
      </c>
      <c r="D129" s="340"/>
      <c r="E129" s="340"/>
      <c r="F129" s="200">
        <f>I118*C15+J118*C16+K118*C17+L118*C18+M118*C19+N118*C20+O118*C21+P118*C22-T118</f>
        <v>0</v>
      </c>
      <c r="H129" s="388"/>
      <c r="I129" s="209" t="s">
        <v>196</v>
      </c>
      <c r="J129" s="210">
        <f>K36+(K38*(C26/SQRT(C25^2+C26^2)))+(K41*(C26/SQRT(C25^2+C26^2)))+U34*1000</f>
        <v>-5000</v>
      </c>
    </row>
    <row r="130" spans="2:10" ht="15.75" thickBot="1" x14ac:dyDescent="0.3">
      <c r="B130" s="59"/>
      <c r="C130" s="202"/>
      <c r="D130" s="202"/>
      <c r="E130" s="202"/>
      <c r="F130" s="201"/>
    </row>
    <row r="131" spans="2:10" ht="15.75" thickBot="1" x14ac:dyDescent="0.3">
      <c r="C131" s="380" t="s">
        <v>200</v>
      </c>
      <c r="D131" s="327"/>
      <c r="E131" s="327"/>
      <c r="F131" s="328"/>
    </row>
    <row r="132" spans="2:10" ht="15.75" thickBot="1" x14ac:dyDescent="0.3">
      <c r="C132" s="384" t="s">
        <v>189</v>
      </c>
      <c r="D132" s="384"/>
      <c r="E132" s="384"/>
      <c r="F132" s="208">
        <f>0.5*((T34*C15)+(U34*C16)+(T33*C17)+(U33*C18)+(T32*C19)+(U32*C20)+(T31*C21)+(U31*C22))</f>
        <v>0</v>
      </c>
      <c r="H132" s="384" t="s">
        <v>198</v>
      </c>
      <c r="I132" s="384"/>
      <c r="J132" s="217" t="e">
        <f>INDEX(MMULT(MINVERSE(I111:P118),T111:T118),1,1)</f>
        <v>#NUM!</v>
      </c>
    </row>
    <row r="133" spans="2:10" ht="15.75" thickBot="1" x14ac:dyDescent="0.3">
      <c r="C133" s="387" t="s">
        <v>190</v>
      </c>
      <c r="D133" s="387"/>
      <c r="E133" s="387"/>
      <c r="F133" s="213">
        <f>C5*C32*0.01+C6*C33*0.01+C7*C34*0.01+C8*C35*0.01+C9*C36*0.01+C10*C37*0.01+C11*C38*0.01+C12*C39*0.01+C13*C40*0.01+C14*C41*0.01</f>
        <v>0</v>
      </c>
    </row>
    <row r="134" spans="2:10" ht="15.75" thickBot="1" x14ac:dyDescent="0.3">
      <c r="C134" s="381" t="s">
        <v>197</v>
      </c>
      <c r="D134" s="382"/>
      <c r="E134" s="383"/>
      <c r="F134" s="208" t="e">
        <f>MMULT(I111:I118,C15)+MMULT(J111:J118,C16)+MMULT(K111:K118,C17)+MMULT(L111:L118,C18)+MMULT(M111:M118,C19)+MMULT(N111:N118,C20)+MMULT(O111:O118,C21)+MMULT(P111:P118,C22)-MMULT(T111:T118,1)</f>
        <v>#VALUE!</v>
      </c>
    </row>
  </sheetData>
  <mergeCells count="30">
    <mergeCell ref="C125:E125"/>
    <mergeCell ref="H121:J121"/>
    <mergeCell ref="H126:H127"/>
    <mergeCell ref="L30:L31"/>
    <mergeCell ref="H122:H123"/>
    <mergeCell ref="O30:O31"/>
    <mergeCell ref="C121:F121"/>
    <mergeCell ref="C131:F131"/>
    <mergeCell ref="C134:E134"/>
    <mergeCell ref="H132:I132"/>
    <mergeCell ref="C128:E128"/>
    <mergeCell ref="C129:E129"/>
    <mergeCell ref="H124:H125"/>
    <mergeCell ref="C133:E133"/>
    <mergeCell ref="C126:E126"/>
    <mergeCell ref="C127:E127"/>
    <mergeCell ref="H128:H129"/>
    <mergeCell ref="C132:E132"/>
    <mergeCell ref="C122:E122"/>
    <mergeCell ref="C123:E123"/>
    <mergeCell ref="C124:E124"/>
    <mergeCell ref="C1:K2"/>
    <mergeCell ref="B30:B31"/>
    <mergeCell ref="C30:C31"/>
    <mergeCell ref="D30:E30"/>
    <mergeCell ref="F30:G30"/>
    <mergeCell ref="H30:H31"/>
    <mergeCell ref="I30:I31"/>
    <mergeCell ref="J30:J31"/>
    <mergeCell ref="K30:K31"/>
  </mergeCells>
  <conditionalFormatting sqref="N32">
    <cfRule type="cellIs" dxfId="277" priority="30" operator="equal">
      <formula>IF($L$32&gt;$M$32,$N$32)</formula>
    </cfRule>
  </conditionalFormatting>
  <conditionalFormatting sqref="N33">
    <cfRule type="cellIs" dxfId="276" priority="29" operator="equal">
      <formula>IF($L$33&gt;$M$33,$N$33)</formula>
    </cfRule>
  </conditionalFormatting>
  <conditionalFormatting sqref="N41">
    <cfRule type="cellIs" dxfId="275" priority="28" operator="equal">
      <formula>IF($L$41&gt;$M$41,$N$41)</formula>
    </cfRule>
  </conditionalFormatting>
  <conditionalFormatting sqref="O32">
    <cfRule type="cellIs" dxfId="274" priority="27" operator="equal">
      <formula>IF($L$32&gt;$M$32,$O$32)</formula>
    </cfRule>
  </conditionalFormatting>
  <conditionalFormatting sqref="O33">
    <cfRule type="cellIs" dxfId="273" priority="26" operator="equal">
      <formula>IF($L$33&gt;$M$33,$O$33)</formula>
    </cfRule>
  </conditionalFormatting>
  <conditionalFormatting sqref="O34">
    <cfRule type="cellIs" dxfId="272" priority="25" operator="equal">
      <formula>IF($L$34&gt;$M$34,$O$34)</formula>
    </cfRule>
  </conditionalFormatting>
  <conditionalFormatting sqref="O35">
    <cfRule type="cellIs" dxfId="271" priority="15" operator="equal">
      <formula>IF($L$35&gt;$M$35,$O$35)</formula>
    </cfRule>
  </conditionalFormatting>
  <conditionalFormatting sqref="O36">
    <cfRule type="cellIs" dxfId="270" priority="14" operator="equal">
      <formula>IF($L$36&gt;$M$36,$O$36)</formula>
    </cfRule>
  </conditionalFormatting>
  <conditionalFormatting sqref="O37">
    <cfRule type="cellIs" dxfId="269" priority="13" operator="equal">
      <formula>IF($L$37&gt;$M$37,$O$37)</formula>
    </cfRule>
  </conditionalFormatting>
  <conditionalFormatting sqref="O38">
    <cfRule type="cellIs" dxfId="268" priority="12" operator="equal">
      <formula>IF($L$38&gt;$M$38,$O$38)</formula>
    </cfRule>
  </conditionalFormatting>
  <conditionalFormatting sqref="O39">
    <cfRule type="cellIs" dxfId="267" priority="11" operator="equal">
      <formula>IF($L$39&gt;$M$39,$O$39)</formula>
    </cfRule>
  </conditionalFormatting>
  <conditionalFormatting sqref="O40">
    <cfRule type="cellIs" dxfId="266" priority="10" operator="equal">
      <formula>IF($L$40&gt;$M$40,$O$40)</formula>
    </cfRule>
  </conditionalFormatting>
  <conditionalFormatting sqref="O41">
    <cfRule type="cellIs" dxfId="265" priority="9" operator="equal">
      <formula>IF($L$41&gt;$M$41,$O$41)</formula>
    </cfRule>
  </conditionalFormatting>
  <conditionalFormatting sqref="N34">
    <cfRule type="cellIs" dxfId="264" priority="8" operator="equal">
      <formula>IF($L$34&gt;$M$34,$N$34)</formula>
    </cfRule>
  </conditionalFormatting>
  <conditionalFormatting sqref="N35">
    <cfRule type="cellIs" dxfId="263" priority="7" operator="equal">
      <formula>IF($L$35&gt;$M$35,$N$35)</formula>
    </cfRule>
  </conditionalFormatting>
  <conditionalFormatting sqref="N36">
    <cfRule type="cellIs" dxfId="262" priority="6" operator="equal">
      <formula>IF($L$36&gt;$M$36,$N$36)</formula>
    </cfRule>
  </conditionalFormatting>
  <conditionalFormatting sqref="N37">
    <cfRule type="cellIs" dxfId="261" priority="5" operator="equal">
      <formula>IF($L$37&gt;$M$37,$N$37)</formula>
    </cfRule>
  </conditionalFormatting>
  <conditionalFormatting sqref="N38">
    <cfRule type="cellIs" dxfId="260" priority="4" operator="equal">
      <formula>IF($L$38&gt;$M$38,$N$38)</formula>
    </cfRule>
  </conditionalFormatting>
  <conditionalFormatting sqref="N39">
    <cfRule type="cellIs" dxfId="259" priority="3" operator="equal">
      <formula>IF($L$39&gt;$M$39,$N$39)</formula>
    </cfRule>
  </conditionalFormatting>
  <conditionalFormatting sqref="N40">
    <cfRule type="cellIs" dxfId="258" priority="2" operator="equal">
      <formula>IF($L$40&gt;$M$40,$N$40)</formula>
    </cfRule>
  </conditionalFormatting>
  <dataValidations disablePrompts="1" count="2">
    <dataValidation type="decimal" allowBlank="1" showInputMessage="1" showErrorMessage="1" error="Just positive number is acceptable_x000a_Min:0.1                    Max:2" sqref="N30">
      <formula1>0.1</formula1>
      <formula2>2</formula2>
    </dataValidation>
    <dataValidation type="decimal" operator="greaterThan" allowBlank="1" showInputMessage="1" showErrorMessage="1" error="Just positive number is acceptable_x000a_" sqref="C32 H32:J42">
      <formula1>0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H523"/>
  <sheetViews>
    <sheetView tabSelected="1" zoomScale="70" zoomScaleNormal="70" workbookViewId="0">
      <selection activeCell="B10" sqref="B10:B25"/>
    </sheetView>
  </sheetViews>
  <sheetFormatPr defaultRowHeight="15" x14ac:dyDescent="0.25"/>
  <cols>
    <col min="4" max="4" width="13.140625" bestFit="1" customWidth="1"/>
    <col min="6" max="6" width="9.140625" customWidth="1"/>
    <col min="7" max="7" width="13" customWidth="1"/>
    <col min="8" max="9" width="9.140625" customWidth="1"/>
    <col min="10" max="10" width="8.42578125" customWidth="1"/>
    <col min="11" max="12" width="10.28515625" customWidth="1"/>
    <col min="13" max="13" width="11.7109375" customWidth="1"/>
    <col min="14" max="14" width="9.85546875" bestFit="1" customWidth="1"/>
    <col min="15" max="15" width="11.42578125" customWidth="1"/>
    <col min="16" max="16" width="10.28515625" customWidth="1"/>
    <col min="17" max="17" width="14.85546875" customWidth="1"/>
    <col min="18" max="18" width="5" customWidth="1"/>
    <col min="19" max="20" width="9.140625" bestFit="1" customWidth="1"/>
    <col min="21" max="21" width="9" customWidth="1"/>
    <col min="22" max="24" width="9.140625" bestFit="1" customWidth="1"/>
    <col min="26" max="27" width="9.140625" bestFit="1" customWidth="1"/>
    <col min="28" max="28" width="9.7109375" bestFit="1" customWidth="1"/>
    <col min="29" max="30" width="9.140625" bestFit="1" customWidth="1"/>
    <col min="31" max="31" width="9.7109375" bestFit="1" customWidth="1"/>
    <col min="33" max="33" width="12.140625" bestFit="1" customWidth="1"/>
    <col min="35" max="35" width="9.28515625" bestFit="1" customWidth="1"/>
    <col min="36" max="36" width="10.85546875" customWidth="1"/>
    <col min="38" max="38" width="9.85546875" bestFit="1" customWidth="1"/>
    <col min="41" max="41" width="13.85546875" customWidth="1"/>
  </cols>
  <sheetData>
    <row r="1" spans="1:60" ht="15.75" thickBot="1" x14ac:dyDescent="0.3">
      <c r="A1" s="326" t="s">
        <v>388</v>
      </c>
      <c r="B1" s="327"/>
      <c r="C1" s="327"/>
      <c r="D1" s="328"/>
      <c r="BD1" s="317">
        <f>B32</f>
        <v>0</v>
      </c>
      <c r="BE1" s="317">
        <f>C32</f>
        <v>0</v>
      </c>
      <c r="BF1" s="317">
        <f>B32</f>
        <v>0</v>
      </c>
      <c r="BG1" s="317">
        <f>C32</f>
        <v>0</v>
      </c>
    </row>
    <row r="2" spans="1:60" ht="15.75" thickBot="1" x14ac:dyDescent="0.3">
      <c r="A2" s="384" t="s">
        <v>190</v>
      </c>
      <c r="B2" s="384"/>
      <c r="C2" s="384"/>
      <c r="D2" s="285">
        <f>F32*D50+F33*D59+F34*D68+F35*D77+F36*D86+F37*D95+F38*D104+F39*D113+F40*D122+F41*D131+F42*D140+F43*D149+F44*D158+F45*D167+F46*D176+F47*D185</f>
        <v>316431.80252223578</v>
      </c>
      <c r="BD2" s="317">
        <v>-20</v>
      </c>
      <c r="BE2" s="317">
        <v>-20</v>
      </c>
      <c r="BF2" s="317">
        <f>B33+G8*AK30</f>
        <v>30.68950001887865</v>
      </c>
      <c r="BG2" s="317">
        <f>C33+G9*AK30</f>
        <v>100.08928571428575</v>
      </c>
    </row>
    <row r="3" spans="1:60" ht="15.75" thickBot="1" x14ac:dyDescent="0.3">
      <c r="A3" s="381" t="s">
        <v>197</v>
      </c>
      <c r="B3" s="382"/>
      <c r="C3" s="383"/>
      <c r="D3" s="285">
        <f>MMULT(F199:F245,G7)+MMULT(G199:G245,G8)+MMULT(H199:H245,G9)+MMULT(I199:I245,G10)+MMULT(J199:J245,G11)+MMULT(K199:K245,G12)+MMULT(L199:L245,G13)+MMULT(M199:M245,G14)+MMULT(N199:N245,G15)+MMULT(O199:O245,G16)+MMULT(P199:P245,G17)+MMULT(Q199:Q245,G18)+MMULT(R199:R245,G19)+MMULT(S199:S245,G20)+MMULT(T199:T245,G21)+MMULT(U199:U245,G22)+MMULT(V199:V245,G23)+MMULT(W199:W245,G24)+MMULT(X199:X245,G25)+MMULT(Y199:Y245,K7)+MMULT(Z199:Z245,K8)+MMULT(AA199:AA245,K9)+MMULT(AB199:AB245,K10)+MMULT(AC199:AC245,K11)+MMULT(AD199:AD245,K12)+MMULT(AE199:AE245,K13)+MMULT(AF199:AF245,K14)+MMULT(AG199:AG245,K15)+MMULT(AH199:AH245,K16)+MMULT(AI199:AI245,K17)+MMULT(AJ199:AJ245,K18)+MMULT(AK199:AK245,K19)+MMULT(AL199:AL245,K20)+MMULT(AM199:AM245,K21)+MMULT(AN199:AN245,K22)+MMULT(AO199:AO245,K23)+MMULT(AP199:AP245,K24)+MMULT(AQ199:AQ245,K25)+MMULT(AR199:AR245,O7)+MMULT(AS199:AS245,O8)+MMULT(AT199:AT245,O9)+MMULT(AU199:AU245,O10)+MMULT(AV199:AV245,O11)+MMULT(AW199:AW245,O12)+MMULT(AX199:AX245,O13)+MMULT(AY199:AY245,O14)+MMULT(AZ199:AZ245,O15)-MMULT(BD199:BD245,1)</f>
        <v>-9.3132257461547852E-10</v>
      </c>
      <c r="BD3" s="317">
        <v>20</v>
      </c>
      <c r="BE3" s="317">
        <v>-20</v>
      </c>
      <c r="BF3" s="317">
        <f>B34+G11*AK30</f>
        <v>59.053084270476674</v>
      </c>
      <c r="BG3" s="317">
        <f>C34+G12*AK30</f>
        <v>200.16964285714292</v>
      </c>
    </row>
    <row r="4" spans="1:60" x14ac:dyDescent="0.25">
      <c r="A4" s="315"/>
      <c r="B4" s="315"/>
      <c r="C4" s="315"/>
      <c r="D4" s="316"/>
      <c r="BD4" s="317">
        <f>BD1</f>
        <v>0</v>
      </c>
      <c r="BE4" s="317">
        <f>BE1</f>
        <v>0</v>
      </c>
      <c r="BF4" s="317">
        <f>B35+G14*AK30</f>
        <v>84.553422624596053</v>
      </c>
      <c r="BG4" s="317">
        <f>C35+G15*AK30</f>
        <v>300.2426948051949</v>
      </c>
    </row>
    <row r="5" spans="1:60" x14ac:dyDescent="0.25">
      <c r="A5" s="315"/>
      <c r="B5" s="315"/>
      <c r="C5" s="315"/>
      <c r="D5" s="316"/>
      <c r="BD5" s="317">
        <f>B47</f>
        <v>800</v>
      </c>
      <c r="BE5" s="317">
        <f>E47</f>
        <v>0</v>
      </c>
      <c r="BF5" s="317">
        <f>B36+G17*AK30</f>
        <v>107.24324597561561</v>
      </c>
      <c r="BG5" s="317">
        <f>C36+G18*AK30</f>
        <v>400.30965909090924</v>
      </c>
    </row>
    <row r="6" spans="1:60" ht="15.75" thickBot="1" x14ac:dyDescent="0.3">
      <c r="C6" s="324" t="s">
        <v>386</v>
      </c>
      <c r="D6" s="324" t="s">
        <v>387</v>
      </c>
      <c r="BD6" s="317">
        <f>B47-20</f>
        <v>780</v>
      </c>
      <c r="BE6" s="317">
        <v>-20</v>
      </c>
      <c r="BF6" s="317">
        <f>B37+G20*AK30</f>
        <v>211.10138415649897</v>
      </c>
      <c r="BG6" s="317">
        <f>C37+G21*AK30</f>
        <v>410.2364460242743</v>
      </c>
    </row>
    <row r="7" spans="1:60" ht="15.75" thickBot="1" x14ac:dyDescent="0.3">
      <c r="A7" s="299" t="s">
        <v>108</v>
      </c>
      <c r="B7" s="292">
        <v>30</v>
      </c>
      <c r="C7" s="139">
        <v>10</v>
      </c>
      <c r="D7" s="139">
        <v>30</v>
      </c>
      <c r="F7" s="325" t="s">
        <v>202</v>
      </c>
      <c r="G7" s="284">
        <v>-1.5620549384289322E-3</v>
      </c>
      <c r="H7" s="286">
        <f>INDEX(MMULT(MINVERSE($F$199:$AZ$245),$BD$199:$BD$245),1,1)</f>
        <v>-1.5620549384271585E-3</v>
      </c>
      <c r="I7" s="283">
        <f>ROUND(ABS((G7-H7)/G7),3)</f>
        <v>0</v>
      </c>
      <c r="J7" s="325" t="s">
        <v>203</v>
      </c>
      <c r="K7" s="140">
        <v>0.55201181417977163</v>
      </c>
      <c r="L7" s="286">
        <f>INDEX(MMULT(MINVERSE($F$199:$AZ$245),$BD$199:$BD$245),20,1)</f>
        <v>0.55201181417912604</v>
      </c>
      <c r="M7" s="283">
        <f>ROUND(ABS((K7-L7)/K7),3)</f>
        <v>0</v>
      </c>
      <c r="N7" s="325" t="s">
        <v>204</v>
      </c>
      <c r="O7" s="140">
        <v>-1.0337000962006796E-3</v>
      </c>
      <c r="P7" s="286">
        <f>INDEX(MMULT(MINVERSE($F$199:$AZ$245),$BD$199:$BD$245),39,1)</f>
        <v>-1.0337000962006562E-3</v>
      </c>
      <c r="Q7" s="283">
        <f>ROUND(ABS((O7-P7)/O7),3)</f>
        <v>0</v>
      </c>
      <c r="BD7" s="317">
        <f>B47+20</f>
        <v>820</v>
      </c>
      <c r="BE7" s="317">
        <v>-20</v>
      </c>
      <c r="BF7" s="317">
        <f>B38+G23*AK30</f>
        <v>312.04762572007468</v>
      </c>
      <c r="BG7" s="317">
        <f>C38+G24*AK30</f>
        <v>431.83195705374601</v>
      </c>
    </row>
    <row r="8" spans="1:60" ht="15.75" thickBot="1" x14ac:dyDescent="0.3">
      <c r="A8" s="299" t="s">
        <v>205</v>
      </c>
      <c r="B8" s="292">
        <v>2</v>
      </c>
      <c r="C8" s="139">
        <v>0.5</v>
      </c>
      <c r="D8" s="139">
        <v>2</v>
      </c>
      <c r="F8" s="325" t="s">
        <v>206</v>
      </c>
      <c r="G8" s="140">
        <v>0.15344750009439326</v>
      </c>
      <c r="H8" s="286">
        <f>INDEX(MMULT(MINVERSE($F$199:$AZ$245),$BD$199:$BD$245),2,1)</f>
        <v>0.15344750009421865</v>
      </c>
      <c r="I8" s="283">
        <f t="shared" ref="I8:I25" si="0">ROUND(ABS((G8-H8)/G8),3)</f>
        <v>0</v>
      </c>
      <c r="J8" s="325" t="s">
        <v>207</v>
      </c>
      <c r="K8" s="140">
        <v>-5.5913671478809691E-2</v>
      </c>
      <c r="L8" s="286">
        <f>INDEX(MMULT(MINVERSE($F$199:$AZ$245),$BD$199:$BD$245),21,1)</f>
        <v>-5.5913671478722657E-2</v>
      </c>
      <c r="M8" s="283">
        <f t="shared" ref="M8:M25" si="1">ROUND(ABS((K8-L8)/K8),3)</f>
        <v>0</v>
      </c>
      <c r="N8" s="325" t="s">
        <v>208</v>
      </c>
      <c r="O8" s="140">
        <v>-1.190746497659087E-3</v>
      </c>
      <c r="P8" s="286">
        <f>INDEX(MMULT(MINVERSE($F$199:$AZ$245),$BD$199:$BD$245),40,1)</f>
        <v>-1.1907464976576615E-3</v>
      </c>
      <c r="Q8" s="283">
        <f t="shared" ref="Q8:Q15" si="2">ROUND(ABS((O8-P8)/O8),3)</f>
        <v>0</v>
      </c>
      <c r="BD8" s="317">
        <f>B47</f>
        <v>800</v>
      </c>
      <c r="BE8" s="317">
        <f>BE5</f>
        <v>0</v>
      </c>
      <c r="BF8" s="317">
        <f>B39+K7*AK30</f>
        <v>410.40236283595431</v>
      </c>
      <c r="BG8" s="317">
        <f>C39+K8*AK30</f>
        <v>463.81726570423808</v>
      </c>
    </row>
    <row r="9" spans="1:60" ht="15.75" thickBot="1" x14ac:dyDescent="0.3">
      <c r="A9" s="299" t="s">
        <v>209</v>
      </c>
      <c r="B9" s="292">
        <v>2</v>
      </c>
      <c r="C9" s="139">
        <v>0.5</v>
      </c>
      <c r="D9" s="139">
        <v>2</v>
      </c>
      <c r="F9" s="325" t="s">
        <v>210</v>
      </c>
      <c r="G9" s="140">
        <v>4.4642857142875952E-4</v>
      </c>
      <c r="H9" s="286">
        <f>INDEX(MMULT(MINVERSE($F$199:$AZ$245),$BD$199:$BD$245),3,1)</f>
        <v>4.4642857142835165E-4</v>
      </c>
      <c r="I9" s="283">
        <f t="shared" si="0"/>
        <v>0</v>
      </c>
      <c r="J9" s="325" t="s">
        <v>211</v>
      </c>
      <c r="K9" s="140">
        <v>5.3617635647251977E-4</v>
      </c>
      <c r="L9" s="286">
        <f>INDEX(MMULT(MINVERSE($F$199:$AZ$245),$BD$199:$BD$245),22,1)</f>
        <v>5.361763564718867E-4</v>
      </c>
      <c r="M9" s="283">
        <f t="shared" si="1"/>
        <v>0</v>
      </c>
      <c r="N9" s="325" t="s">
        <v>212</v>
      </c>
      <c r="O9" s="140">
        <v>0.29590405728612845</v>
      </c>
      <c r="P9" s="286">
        <f>INDEX(MMULT(MINVERSE($F$199:$AZ$245),$BD$199:$BD$245),41,1)</f>
        <v>0.2959040572857885</v>
      </c>
      <c r="Q9" s="283">
        <f t="shared" si="2"/>
        <v>0</v>
      </c>
      <c r="BD9" s="317"/>
      <c r="BE9" s="317"/>
      <c r="BF9" s="317">
        <f>B40+K10*AK30</f>
        <v>507.58703076448387</v>
      </c>
      <c r="BG9" s="317">
        <f>C40+K11*AK30</f>
        <v>500.4828511041303</v>
      </c>
    </row>
    <row r="10" spans="1:60" ht="15.75" thickBot="1" x14ac:dyDescent="0.3">
      <c r="A10" s="299" t="s">
        <v>213</v>
      </c>
      <c r="B10" s="309">
        <v>30</v>
      </c>
      <c r="C10" s="139">
        <v>10</v>
      </c>
      <c r="D10" s="139">
        <v>70</v>
      </c>
      <c r="F10" s="325" t="s">
        <v>214</v>
      </c>
      <c r="G10" s="140">
        <v>-1.4793151259739339E-3</v>
      </c>
      <c r="H10" s="286">
        <f>INDEX(MMULT(MINVERSE($F$199:$AZ$245),$BD$199:$BD$245),4,1)</f>
        <v>-1.4793151259722428E-3</v>
      </c>
      <c r="I10" s="283">
        <f t="shared" si="0"/>
        <v>0</v>
      </c>
      <c r="J10" s="325" t="s">
        <v>215</v>
      </c>
      <c r="K10" s="140">
        <v>0.53793515382241941</v>
      </c>
      <c r="L10" s="286">
        <f>INDEX(MMULT(MINVERSE($F$199:$AZ$245),$BD$199:$BD$245),23,1)</f>
        <v>0.53793515382179347</v>
      </c>
      <c r="M10" s="283">
        <f t="shared" si="1"/>
        <v>0</v>
      </c>
      <c r="N10" s="325" t="s">
        <v>216</v>
      </c>
      <c r="O10" s="140">
        <v>-7.2255291005331786E-4</v>
      </c>
      <c r="P10" s="286">
        <f>INDEX(MMULT(MINVERSE($F$199:$AZ$245),$BD$199:$BD$245),42,1)</f>
        <v>-7.225529100533016E-4</v>
      </c>
      <c r="Q10" s="283">
        <f t="shared" si="2"/>
        <v>0</v>
      </c>
      <c r="BD10" s="317"/>
      <c r="BE10" s="317"/>
      <c r="BF10" s="317">
        <f>B41+K13*AK30</f>
        <v>610.22789907381389</v>
      </c>
      <c r="BG10" s="317">
        <f>C41+K14*AK30</f>
        <v>486.31368231044587</v>
      </c>
      <c r="BH10" s="318"/>
    </row>
    <row r="11" spans="1:60" ht="15.75" thickBot="1" x14ac:dyDescent="0.3">
      <c r="A11" s="299" t="s">
        <v>217</v>
      </c>
      <c r="B11" s="311">
        <v>40</v>
      </c>
      <c r="C11" s="139">
        <v>10</v>
      </c>
      <c r="D11" s="139">
        <v>70</v>
      </c>
      <c r="F11" s="325" t="s">
        <v>218</v>
      </c>
      <c r="G11" s="140">
        <v>0.29526542135238337</v>
      </c>
      <c r="H11" s="286">
        <f>INDEX(MMULT(MINVERSE($F$199:$AZ$245),$BD$199:$BD$245),5,1)</f>
        <v>0.29526542135204564</v>
      </c>
      <c r="I11" s="283">
        <f t="shared" si="0"/>
        <v>0</v>
      </c>
      <c r="J11" s="325" t="s">
        <v>219</v>
      </c>
      <c r="K11" s="140">
        <v>2.4142555206516508E-3</v>
      </c>
      <c r="L11" s="286">
        <f>INDEX(MMULT(MINVERSE($F$199:$AZ$245),$BD$199:$BD$245),24,1)</f>
        <v>2.4142555206625917E-3</v>
      </c>
      <c r="M11" s="283">
        <f t="shared" si="1"/>
        <v>0</v>
      </c>
      <c r="N11" s="325" t="s">
        <v>220</v>
      </c>
      <c r="O11" s="140">
        <v>-1.3395295144520527E-3</v>
      </c>
      <c r="P11" s="286">
        <f>INDEX(MMULT(MINVERSE($F$199:$AZ$245),$BD$199:$BD$245),43,1)</f>
        <v>-1.3395295144504873E-3</v>
      </c>
      <c r="Q11" s="283">
        <f t="shared" si="2"/>
        <v>0</v>
      </c>
      <c r="BD11" s="317"/>
      <c r="BE11" s="317"/>
      <c r="BF11" s="317">
        <f>B42+K16*AK30</f>
        <v>711.67302627209688</v>
      </c>
      <c r="BG11" s="317">
        <f>C42+K17*AK30</f>
        <v>467.47163764804185</v>
      </c>
      <c r="BH11" s="318"/>
    </row>
    <row r="12" spans="1:60" ht="15.75" thickBot="1" x14ac:dyDescent="0.3">
      <c r="A12" s="299" t="s">
        <v>221</v>
      </c>
      <c r="B12" s="312">
        <v>50</v>
      </c>
      <c r="C12" s="139">
        <v>10</v>
      </c>
      <c r="D12" s="139">
        <v>70</v>
      </c>
      <c r="F12" s="325" t="s">
        <v>222</v>
      </c>
      <c r="G12" s="140">
        <v>8.4821428571464305E-4</v>
      </c>
      <c r="H12" s="286">
        <f>INDEX(MMULT(MINVERSE($F$199:$AZ$245),$BD$199:$BD$245),6,1)</f>
        <v>8.4821428571386817E-4</v>
      </c>
      <c r="I12" s="283">
        <f t="shared" si="0"/>
        <v>0</v>
      </c>
      <c r="J12" s="325" t="s">
        <v>223</v>
      </c>
      <c r="K12" s="140">
        <v>5.5691120376840557E-4</v>
      </c>
      <c r="L12" s="286">
        <f>INDEX(MMULT(MINVERSE($F$199:$AZ$245),$BD$199:$BD$245),25,1)</f>
        <v>5.5691120376760619E-4</v>
      </c>
      <c r="M12" s="283">
        <f t="shared" si="1"/>
        <v>0</v>
      </c>
      <c r="N12" s="325" t="s">
        <v>224</v>
      </c>
      <c r="O12" s="140">
        <v>0.15400114993873107</v>
      </c>
      <c r="P12" s="286">
        <f>INDEX(MMULT(MINVERSE($F$199:$AZ$245),$BD$199:$BD$245),44,1)</f>
        <v>0.15400114993855532</v>
      </c>
      <c r="Q12" s="283">
        <f t="shared" si="2"/>
        <v>0</v>
      </c>
      <c r="BD12" s="317"/>
      <c r="BE12" s="317"/>
      <c r="BF12" s="317">
        <f>B43+K19*AK30</f>
        <v>810.75207052278438</v>
      </c>
      <c r="BG12" s="317">
        <f>C43+K20*AK30</f>
        <v>439.14429194278603</v>
      </c>
      <c r="BH12" s="318"/>
    </row>
    <row r="13" spans="1:60" ht="15.75" thickBot="1" x14ac:dyDescent="0.3">
      <c r="A13" s="299" t="s">
        <v>225</v>
      </c>
      <c r="B13" s="313">
        <v>60</v>
      </c>
      <c r="C13" s="139">
        <v>10</v>
      </c>
      <c r="D13" s="139">
        <v>70</v>
      </c>
      <c r="F13" s="325" t="s">
        <v>226</v>
      </c>
      <c r="G13" s="140">
        <v>-1.3417593208373598E-3</v>
      </c>
      <c r="H13" s="286">
        <f>INDEX(MMULT(MINVERSE($F$199:$AZ$245),$BD$199:$BD$245),7,1)</f>
        <v>-1.3417593208358035E-3</v>
      </c>
      <c r="I13" s="283">
        <f t="shared" si="0"/>
        <v>0</v>
      </c>
      <c r="J13" s="325" t="s">
        <v>227</v>
      </c>
      <c r="K13" s="140">
        <v>0.5511394953690697</v>
      </c>
      <c r="L13" s="286">
        <f>INDEX(MMULT(MINVERSE($F$199:$AZ$245),$BD$199:$BD$245),26,1)</f>
        <v>0.55113949536842399</v>
      </c>
      <c r="M13" s="283">
        <f t="shared" si="1"/>
        <v>0</v>
      </c>
      <c r="N13" s="325" t="s">
        <v>228</v>
      </c>
      <c r="O13" s="140">
        <v>-3.8029100529121988E-4</v>
      </c>
      <c r="P13" s="286">
        <f>INDEX(MMULT(MINVERSE($F$199:$AZ$245),$BD$199:$BD$245),45,1)</f>
        <v>-3.802910052912112E-4</v>
      </c>
      <c r="Q13" s="283">
        <f t="shared" si="2"/>
        <v>0</v>
      </c>
      <c r="BD13" s="317"/>
      <c r="BE13" s="317"/>
      <c r="BF13" s="317">
        <f>B44+K22*AK30</f>
        <v>907.06093229658086</v>
      </c>
      <c r="BG13" s="317">
        <f>C44+K23*AK30</f>
        <v>399.73621632996617</v>
      </c>
      <c r="BH13" s="318"/>
    </row>
    <row r="14" spans="1:60" ht="15.75" thickBot="1" x14ac:dyDescent="0.3">
      <c r="A14" s="299" t="s">
        <v>229</v>
      </c>
      <c r="B14" s="314">
        <v>30</v>
      </c>
      <c r="C14" s="139">
        <v>10</v>
      </c>
      <c r="D14" s="139">
        <v>70</v>
      </c>
      <c r="F14" s="325" t="s">
        <v>230</v>
      </c>
      <c r="G14" s="140">
        <v>0.42276711312298026</v>
      </c>
      <c r="H14" s="286">
        <f>INDEX(MMULT(MINVERSE($F$199:$AZ$245),$BD$199:$BD$245),8,1)</f>
        <v>0.4227671131224936</v>
      </c>
      <c r="I14" s="283">
        <f t="shared" si="0"/>
        <v>0</v>
      </c>
      <c r="J14" s="325" t="s">
        <v>231</v>
      </c>
      <c r="K14" s="140">
        <v>5.6568411552229296E-2</v>
      </c>
      <c r="L14" s="286">
        <f>INDEX(MMULT(MINVERSE($F$199:$AZ$245),$BD$199:$BD$245),27,1)</f>
        <v>5.6568411552161954E-2</v>
      </c>
      <c r="M14" s="283">
        <f t="shared" si="1"/>
        <v>0</v>
      </c>
      <c r="N14" s="325" t="s">
        <v>232</v>
      </c>
      <c r="O14" s="140">
        <v>-1.4826287206915103E-3</v>
      </c>
      <c r="P14" s="286">
        <f>INDEX(MMULT(MINVERSE($F$199:$AZ$245),$BD$199:$BD$245),46,1)</f>
        <v>-1.4826287206898079E-3</v>
      </c>
      <c r="Q14" s="283">
        <f t="shared" si="2"/>
        <v>0</v>
      </c>
      <c r="BD14" s="317"/>
      <c r="BE14" s="317"/>
      <c r="BF14" s="317">
        <f>B45+K25*AK30</f>
        <v>884.58276025619909</v>
      </c>
      <c r="BG14" s="317">
        <f>C45+O7*AK30</f>
        <v>299.79325998075984</v>
      </c>
      <c r="BH14" s="318"/>
    </row>
    <row r="15" spans="1:60" ht="15.75" thickBot="1" x14ac:dyDescent="0.3">
      <c r="A15" s="299" t="s">
        <v>233</v>
      </c>
      <c r="B15" s="292">
        <v>25</v>
      </c>
      <c r="C15" s="139">
        <v>10</v>
      </c>
      <c r="D15" s="139">
        <v>70</v>
      </c>
      <c r="F15" s="325" t="s">
        <v>234</v>
      </c>
      <c r="G15" s="140">
        <v>1.2134740259745372E-3</v>
      </c>
      <c r="H15" s="286">
        <f>INDEX(MMULT(MINVERSE($F$199:$AZ$245),$BD$199:$BD$245),9,1)</f>
        <v>1.2134740259734287E-3</v>
      </c>
      <c r="I15" s="283">
        <f t="shared" si="0"/>
        <v>0</v>
      </c>
      <c r="J15" s="325" t="s">
        <v>235</v>
      </c>
      <c r="K15" s="140">
        <v>5.1855213923378339E-4</v>
      </c>
      <c r="L15" s="286">
        <f>INDEX(MMULT(MINVERSE($F$199:$AZ$245),$BD$199:$BD$245),28,1)</f>
        <v>5.1855213923302857E-4</v>
      </c>
      <c r="M15" s="283">
        <f t="shared" si="1"/>
        <v>0</v>
      </c>
      <c r="N15" s="325" t="s">
        <v>236</v>
      </c>
      <c r="O15" s="140">
        <v>-1.5687028887352115E-3</v>
      </c>
      <c r="P15" s="286">
        <f>INDEX(MMULT(MINVERSE($F$199:$AZ$245),$BD$199:$BD$245),47,1)</f>
        <v>-1.5687028887334253E-3</v>
      </c>
      <c r="Q15" s="283">
        <f t="shared" si="2"/>
        <v>0</v>
      </c>
      <c r="BD15" s="317"/>
      <c r="BE15" s="317"/>
      <c r="BF15" s="317">
        <f>B46+O9*AK30</f>
        <v>859.18081145722567</v>
      </c>
      <c r="BG15" s="317">
        <f>C46+O10*AK30</f>
        <v>199.85548941798933</v>
      </c>
      <c r="BH15" s="318"/>
    </row>
    <row r="16" spans="1:60" ht="15.75" thickBot="1" x14ac:dyDescent="0.3">
      <c r="A16" s="299" t="s">
        <v>237</v>
      </c>
      <c r="B16" s="310">
        <v>20</v>
      </c>
      <c r="C16" s="139">
        <v>10</v>
      </c>
      <c r="D16" s="139">
        <v>70</v>
      </c>
      <c r="F16" s="325" t="s">
        <v>238</v>
      </c>
      <c r="G16" s="140">
        <v>-1.1987398855558078E-3</v>
      </c>
      <c r="H16" s="286">
        <f>INDEX(MMULT(MINVERSE($F$199:$AZ$245),$BD$199:$BD$245),10,1)</f>
        <v>-1.1987398855543942E-3</v>
      </c>
      <c r="I16" s="283">
        <f t="shared" si="0"/>
        <v>0</v>
      </c>
      <c r="J16" s="325" t="s">
        <v>239</v>
      </c>
      <c r="K16" s="140">
        <v>0.55836513136048438</v>
      </c>
      <c r="L16" s="286">
        <f>INDEX(MMULT(MINVERSE($F$199:$AZ$245),$BD$199:$BD$245),29,1)</f>
        <v>0.55836513135982768</v>
      </c>
      <c r="M16" s="283">
        <f t="shared" si="1"/>
        <v>0</v>
      </c>
      <c r="BD16" s="317"/>
      <c r="BE16" s="317"/>
      <c r="BF16" s="317">
        <f>B47+O12*AK30</f>
        <v>830.80022998774621</v>
      </c>
      <c r="BG16" s="317">
        <f>C47+O13*AK30</f>
        <v>99.923941798941755</v>
      </c>
      <c r="BH16" s="318"/>
    </row>
    <row r="17" spans="1:60" ht="15.75" thickBot="1" x14ac:dyDescent="0.3">
      <c r="A17" s="299" t="s">
        <v>240</v>
      </c>
      <c r="B17" s="292">
        <v>20</v>
      </c>
      <c r="C17" s="139">
        <v>10</v>
      </c>
      <c r="D17" s="139">
        <v>70</v>
      </c>
      <c r="F17" s="325" t="s">
        <v>241</v>
      </c>
      <c r="G17" s="140">
        <v>0.53621622987807804</v>
      </c>
      <c r="H17" s="286">
        <f>INDEX(MMULT(MINVERSE($F$199:$AZ$245),$BD$199:$BD$245),11,1)</f>
        <v>0.53621622987745665</v>
      </c>
      <c r="I17" s="283">
        <f t="shared" si="0"/>
        <v>0</v>
      </c>
      <c r="J17" s="325" t="s">
        <v>242</v>
      </c>
      <c r="K17" s="140">
        <v>8.735818824020937E-2</v>
      </c>
      <c r="L17" s="286">
        <f>INDEX(MMULT(MINVERSE($F$199:$AZ$245),$BD$199:$BD$245),30,1)</f>
        <v>8.735818824009596E-2</v>
      </c>
      <c r="M17" s="283">
        <f t="shared" si="1"/>
        <v>0</v>
      </c>
      <c r="BE17" s="317"/>
      <c r="BF17" s="317">
        <f>D47</f>
        <v>800</v>
      </c>
      <c r="BG17" s="317">
        <f>E47</f>
        <v>0</v>
      </c>
      <c r="BH17" s="318"/>
    </row>
    <row r="18" spans="1:60" ht="15.75" thickBot="1" x14ac:dyDescent="0.3">
      <c r="A18" s="299" t="s">
        <v>243</v>
      </c>
      <c r="B18" s="292">
        <v>60</v>
      </c>
      <c r="C18" s="139">
        <v>10</v>
      </c>
      <c r="D18" s="139">
        <v>70</v>
      </c>
      <c r="F18" s="325" t="s">
        <v>244</v>
      </c>
      <c r="G18" s="140">
        <v>1.5482954545461068E-3</v>
      </c>
      <c r="H18" s="286">
        <f>INDEX(MMULT(MINVERSE($F$199:$AZ$245),$BD$199:$BD$245),12,1)</f>
        <v>1.5482954545446926E-3</v>
      </c>
      <c r="I18" s="283">
        <f t="shared" si="0"/>
        <v>0</v>
      </c>
      <c r="J18" s="325" t="s">
        <v>245</v>
      </c>
      <c r="K18" s="140">
        <v>5.7686073941296082E-5</v>
      </c>
      <c r="L18" s="286">
        <f>INDEX(MMULT(MINVERSE($F$199:$AZ$245),$BD$199:$BD$245),31,1)</f>
        <v>5.7686073941188448E-5</v>
      </c>
      <c r="M18" s="283">
        <f t="shared" si="1"/>
        <v>0</v>
      </c>
      <c r="BE18" s="317"/>
      <c r="BF18" s="318"/>
      <c r="BG18" s="318"/>
      <c r="BH18" s="318"/>
    </row>
    <row r="19" spans="1:60" ht="15.75" thickBot="1" x14ac:dyDescent="0.3">
      <c r="A19" s="299" t="s">
        <v>246</v>
      </c>
      <c r="B19" s="310">
        <v>25</v>
      </c>
      <c r="C19" s="139">
        <v>10</v>
      </c>
      <c r="D19" s="139">
        <v>70</v>
      </c>
      <c r="F19" s="325" t="s">
        <v>247</v>
      </c>
      <c r="G19" s="140">
        <v>-1.0638175777456641E-3</v>
      </c>
      <c r="H19" s="286">
        <f>INDEX(MMULT(MINVERSE($F$199:$AZ$245),$BD$199:$BD$245),13,1)</f>
        <v>-1.0638175777443906E-3</v>
      </c>
      <c r="I19" s="283">
        <f t="shared" si="0"/>
        <v>0</v>
      </c>
      <c r="J19" s="325" t="s">
        <v>248</v>
      </c>
      <c r="K19" s="140">
        <v>0.55376035261392198</v>
      </c>
      <c r="L19" s="286">
        <f>INDEX(MMULT(MINVERSE($F$199:$AZ$245),$BD$199:$BD$245),32,1)</f>
        <v>0.55376035261327072</v>
      </c>
      <c r="M19" s="283">
        <f t="shared" si="1"/>
        <v>0</v>
      </c>
      <c r="BE19" s="317"/>
      <c r="BF19" s="317"/>
      <c r="BG19" s="317"/>
      <c r="BH19" s="318"/>
    </row>
    <row r="20" spans="1:60" ht="15.75" thickBot="1" x14ac:dyDescent="0.3">
      <c r="A20" s="299" t="s">
        <v>249</v>
      </c>
      <c r="B20" s="292">
        <v>30</v>
      </c>
      <c r="C20" s="139">
        <v>10</v>
      </c>
      <c r="D20" s="139">
        <v>70</v>
      </c>
      <c r="F20" s="325" t="s">
        <v>250</v>
      </c>
      <c r="G20" s="140">
        <v>0.55550692078249475</v>
      </c>
      <c r="H20" s="286">
        <f>INDEX(MMULT(MINVERSE($F$199:$AZ$245),$BD$199:$BD$245),14,1)</f>
        <v>0.55550692078184905</v>
      </c>
      <c r="I20" s="283">
        <f t="shared" si="0"/>
        <v>0</v>
      </c>
      <c r="J20" s="325" t="s">
        <v>251</v>
      </c>
      <c r="K20" s="140">
        <v>7.072145971393004E-2</v>
      </c>
      <c r="L20" s="286">
        <f>INDEX(MMULT(MINVERSE($F$199:$AZ$245),$BD$199:$BD$245),33,1)</f>
        <v>7.0721459713837559E-2</v>
      </c>
      <c r="M20" s="283">
        <f t="shared" si="1"/>
        <v>0</v>
      </c>
      <c r="BE20" s="317"/>
      <c r="BF20" s="317"/>
      <c r="BG20" s="317"/>
    </row>
    <row r="21" spans="1:60" ht="15.75" thickBot="1" x14ac:dyDescent="0.3">
      <c r="A21" s="299" t="s">
        <v>252</v>
      </c>
      <c r="B21" s="314">
        <v>30</v>
      </c>
      <c r="C21" s="139">
        <v>10</v>
      </c>
      <c r="D21" s="139">
        <v>70</v>
      </c>
      <c r="F21" s="325" t="s">
        <v>253</v>
      </c>
      <c r="G21" s="140">
        <v>-7.381776987862855E-2</v>
      </c>
      <c r="H21" s="286">
        <f>INDEX(MMULT(MINVERSE($F$199:$AZ$245),$BD$199:$BD$245),15,1)</f>
        <v>-7.3817769878535805E-2</v>
      </c>
      <c r="I21" s="283">
        <f t="shared" si="0"/>
        <v>0</v>
      </c>
      <c r="J21" s="325" t="s">
        <v>254</v>
      </c>
      <c r="K21" s="140">
        <v>-4.1847578264465592E-4</v>
      </c>
      <c r="L21" s="286">
        <f>INDEX(MMULT(MINVERSE($F$199:$AZ$245),$BD$199:$BD$245),34,1)</f>
        <v>-4.1847578264409566E-4</v>
      </c>
      <c r="M21" s="283">
        <f t="shared" si="1"/>
        <v>0</v>
      </c>
    </row>
    <row r="22" spans="1:60" ht="15.75" thickBot="1" x14ac:dyDescent="0.3">
      <c r="A22" s="299" t="s">
        <v>255</v>
      </c>
      <c r="B22" s="313">
        <v>60</v>
      </c>
      <c r="C22" s="139">
        <v>10</v>
      </c>
      <c r="D22" s="139">
        <v>70</v>
      </c>
      <c r="F22" s="325" t="s">
        <v>256</v>
      </c>
      <c r="G22" s="140">
        <v>-4.7766243473113489E-4</v>
      </c>
      <c r="H22" s="286">
        <f>INDEX(MMULT(MINVERSE($F$199:$AZ$245),$BD$199:$BD$245),16,1)</f>
        <v>-4.7766243473049163E-4</v>
      </c>
      <c r="I22" s="283">
        <f t="shared" si="0"/>
        <v>0</v>
      </c>
      <c r="J22" s="325" t="s">
        <v>257</v>
      </c>
      <c r="K22" s="140">
        <v>0.53530466148290456</v>
      </c>
      <c r="L22" s="286">
        <f>INDEX(MMULT(MINVERSE($F$199:$AZ$245),$BD$199:$BD$245),35,1)</f>
        <v>0.53530466148227862</v>
      </c>
      <c r="M22" s="283">
        <f t="shared" si="1"/>
        <v>0</v>
      </c>
    </row>
    <row r="23" spans="1:60" ht="15.75" thickBot="1" x14ac:dyDescent="0.3">
      <c r="A23" s="299" t="s">
        <v>258</v>
      </c>
      <c r="B23" s="312">
        <v>50</v>
      </c>
      <c r="C23" s="139">
        <v>10</v>
      </c>
      <c r="D23" s="139">
        <v>70</v>
      </c>
      <c r="F23" s="325" t="s">
        <v>259</v>
      </c>
      <c r="G23" s="140">
        <v>0.56023812860037348</v>
      </c>
      <c r="H23" s="286">
        <f>INDEX(MMULT(MINVERSE($F$199:$AZ$245),$BD$199:$BD$245),17,1)</f>
        <v>0.56023812859971978</v>
      </c>
      <c r="I23" s="283">
        <f t="shared" si="0"/>
        <v>0</v>
      </c>
      <c r="J23" s="325" t="s">
        <v>260</v>
      </c>
      <c r="K23" s="140">
        <v>-1.3189183501690945E-3</v>
      </c>
      <c r="L23" s="286">
        <f>INDEX(MMULT(MINVERSE($F$199:$AZ$245),$BD$199:$BD$245),36,1)</f>
        <v>-1.3189183501690646E-3</v>
      </c>
      <c r="M23" s="283">
        <f t="shared" si="1"/>
        <v>0</v>
      </c>
    </row>
    <row r="24" spans="1:60" ht="15.75" thickBot="1" x14ac:dyDescent="0.3">
      <c r="A24" s="299" t="s">
        <v>261</v>
      </c>
      <c r="B24" s="311">
        <v>40</v>
      </c>
      <c r="C24" s="139">
        <v>10</v>
      </c>
      <c r="D24" s="139">
        <v>70</v>
      </c>
      <c r="F24" s="325" t="s">
        <v>262</v>
      </c>
      <c r="G24" s="140">
        <v>-9.0840214731269825E-2</v>
      </c>
      <c r="H24" s="286">
        <f>INDEX(MMULT(MINVERSE($F$199:$AZ$245),$BD$199:$BD$245),18,1)</f>
        <v>-9.0840214731147548E-2</v>
      </c>
      <c r="I24" s="283">
        <f t="shared" si="0"/>
        <v>0</v>
      </c>
      <c r="J24" s="325" t="s">
        <v>263</v>
      </c>
      <c r="K24" s="140">
        <v>-1.0503869168150982E-3</v>
      </c>
      <c r="L24" s="286">
        <f>INDEX(MMULT(MINVERSE($F$199:$AZ$245),$BD$199:$BD$245),37,1)</f>
        <v>-1.0503869168138117E-3</v>
      </c>
      <c r="M24" s="283">
        <f t="shared" si="1"/>
        <v>0</v>
      </c>
    </row>
    <row r="25" spans="1:60" ht="15.75" thickBot="1" x14ac:dyDescent="0.3">
      <c r="A25" s="299" t="s">
        <v>264</v>
      </c>
      <c r="B25" s="309">
        <v>30</v>
      </c>
      <c r="C25" s="139">
        <v>10</v>
      </c>
      <c r="D25" s="139">
        <v>70</v>
      </c>
      <c r="F25" s="325" t="s">
        <v>265</v>
      </c>
      <c r="G25" s="140">
        <v>8.888352882838425E-5</v>
      </c>
      <c r="H25" s="286">
        <f>INDEX(MMULT(MINVERSE($F$199:$AZ$245),$BD$199:$BD$245),19,1)</f>
        <v>8.8883528828377054E-5</v>
      </c>
      <c r="I25" s="283">
        <f t="shared" si="0"/>
        <v>0</v>
      </c>
      <c r="J25" s="325" t="s">
        <v>266</v>
      </c>
      <c r="K25" s="140">
        <v>0.42291380128099526</v>
      </c>
      <c r="L25" s="286">
        <f>INDEX(MMULT(MINVERSE($F$199:$AZ$245),$BD$199:$BD$245),38,1)</f>
        <v>0.42291380128050537</v>
      </c>
      <c r="M25" s="283">
        <f t="shared" si="1"/>
        <v>0</v>
      </c>
    </row>
    <row r="26" spans="1:60" ht="15.75" thickBot="1" x14ac:dyDescent="0.3">
      <c r="A26" s="220"/>
      <c r="B26" s="221"/>
      <c r="C26" s="33"/>
      <c r="D26" s="33"/>
      <c r="F26" s="220"/>
      <c r="G26" s="222"/>
      <c r="H26" s="220"/>
      <c r="I26" s="222"/>
      <c r="J26" s="220"/>
    </row>
    <row r="27" spans="1:60" ht="15.75" thickBot="1" x14ac:dyDescent="0.3">
      <c r="A27" s="299" t="s">
        <v>267</v>
      </c>
      <c r="B27" s="139">
        <v>400</v>
      </c>
      <c r="C27" s="299" t="s">
        <v>268</v>
      </c>
      <c r="D27" s="139">
        <v>400</v>
      </c>
      <c r="E27" s="300" t="s">
        <v>269</v>
      </c>
      <c r="F27" s="139">
        <v>400</v>
      </c>
      <c r="G27" s="300" t="s">
        <v>270</v>
      </c>
      <c r="H27" s="139">
        <v>100</v>
      </c>
      <c r="I27" s="222"/>
      <c r="J27" s="220"/>
    </row>
    <row r="28" spans="1:60" ht="15.75" thickBot="1" x14ac:dyDescent="0.3">
      <c r="A28" s="299" t="s">
        <v>3</v>
      </c>
      <c r="B28" s="223">
        <v>2100000</v>
      </c>
      <c r="C28" s="158" t="s">
        <v>271</v>
      </c>
      <c r="D28" s="139">
        <v>2400</v>
      </c>
      <c r="E28" s="299" t="s">
        <v>272</v>
      </c>
      <c r="F28" s="205">
        <f>0.6*D28</f>
        <v>1440</v>
      </c>
      <c r="G28" s="299" t="s">
        <v>273</v>
      </c>
      <c r="H28" s="205">
        <f>0.4*D28</f>
        <v>960</v>
      </c>
      <c r="I28" s="299" t="s">
        <v>2</v>
      </c>
      <c r="J28" s="205">
        <f>0.6*D28</f>
        <v>1440</v>
      </c>
    </row>
    <row r="29" spans="1:60" ht="15.75" thickBot="1" x14ac:dyDescent="0.3">
      <c r="J29" s="59"/>
    </row>
    <row r="30" spans="1:60" ht="15.75" thickBot="1" x14ac:dyDescent="0.3">
      <c r="A30" s="377" t="s">
        <v>112</v>
      </c>
      <c r="B30" s="379" t="s">
        <v>114</v>
      </c>
      <c r="C30" s="379"/>
      <c r="D30" s="379" t="s">
        <v>115</v>
      </c>
      <c r="E30" s="379"/>
      <c r="F30" s="333" t="s">
        <v>113</v>
      </c>
      <c r="G30" s="333" t="s">
        <v>380</v>
      </c>
      <c r="H30" s="333"/>
      <c r="I30" s="333"/>
      <c r="J30" s="333" t="s">
        <v>121</v>
      </c>
      <c r="K30" s="333"/>
      <c r="L30" s="333"/>
      <c r="M30" s="333" t="s">
        <v>381</v>
      </c>
      <c r="N30" s="333"/>
      <c r="O30" s="333"/>
      <c r="P30" s="333" t="s">
        <v>121</v>
      </c>
      <c r="Q30" s="333"/>
      <c r="R30" s="399"/>
      <c r="W30" s="147" t="s">
        <v>134</v>
      </c>
      <c r="X30" s="144" t="s">
        <v>135</v>
      </c>
      <c r="Y30" s="144" t="s">
        <v>136</v>
      </c>
      <c r="Z30" s="219" t="s">
        <v>137</v>
      </c>
      <c r="AA30" s="151" t="s">
        <v>138</v>
      </c>
      <c r="AB30" s="151" t="s">
        <v>274</v>
      </c>
      <c r="AC30" s="219" t="s">
        <v>139</v>
      </c>
      <c r="AD30" s="219" t="s">
        <v>140</v>
      </c>
      <c r="AE30" s="224" t="s">
        <v>275</v>
      </c>
      <c r="AG30" s="396" t="s">
        <v>384</v>
      </c>
      <c r="AH30" s="396"/>
      <c r="AI30" s="396"/>
      <c r="AJ30" s="396"/>
      <c r="AK30" s="139">
        <v>200</v>
      </c>
    </row>
    <row r="31" spans="1:60" x14ac:dyDescent="0.25">
      <c r="A31" s="378"/>
      <c r="B31" s="163" t="s">
        <v>122</v>
      </c>
      <c r="C31" s="163" t="s">
        <v>123</v>
      </c>
      <c r="D31" s="163" t="s">
        <v>122</v>
      </c>
      <c r="E31" s="163" t="s">
        <v>123</v>
      </c>
      <c r="F31" s="334"/>
      <c r="G31" s="164" t="s">
        <v>276</v>
      </c>
      <c r="H31" s="164" t="s">
        <v>277</v>
      </c>
      <c r="I31" s="164" t="s">
        <v>278</v>
      </c>
      <c r="J31" s="164" t="s">
        <v>382</v>
      </c>
      <c r="K31" s="397" t="s">
        <v>383</v>
      </c>
      <c r="L31" s="400"/>
      <c r="M31" s="164" t="s">
        <v>276</v>
      </c>
      <c r="N31" s="164" t="s">
        <v>277</v>
      </c>
      <c r="O31" s="164" t="s">
        <v>278</v>
      </c>
      <c r="P31" s="164" t="s">
        <v>382</v>
      </c>
      <c r="Q31" s="397" t="s">
        <v>383</v>
      </c>
      <c r="R31" s="398"/>
      <c r="W31" s="126">
        <v>1</v>
      </c>
      <c r="X31" s="85">
        <f>B32</f>
        <v>0</v>
      </c>
      <c r="Y31" s="85">
        <f>C32</f>
        <v>0</v>
      </c>
      <c r="Z31" s="124">
        <v>0</v>
      </c>
      <c r="AA31" s="124">
        <v>0</v>
      </c>
      <c r="AB31" s="124">
        <v>0</v>
      </c>
      <c r="AC31" s="225">
        <v>0</v>
      </c>
      <c r="AD31" s="225">
        <v>0</v>
      </c>
      <c r="AE31" s="226">
        <f>G7</f>
        <v>-1.5620549384289322E-3</v>
      </c>
    </row>
    <row r="32" spans="1:60" x14ac:dyDescent="0.25">
      <c r="A32" s="149">
        <v>1</v>
      </c>
      <c r="B32" s="85">
        <v>0</v>
      </c>
      <c r="C32" s="85">
        <v>0</v>
      </c>
      <c r="D32" s="85">
        <f>B32</f>
        <v>0</v>
      </c>
      <c r="E32" s="85">
        <f>F27/4</f>
        <v>100</v>
      </c>
      <c r="F32" s="227">
        <f>SQRT(((D32-B32)^2)+((E32-C32)^2))</f>
        <v>100</v>
      </c>
      <c r="G32" s="194">
        <f>AI52</f>
        <v>-1687.500000000711</v>
      </c>
      <c r="H32" s="287">
        <f>AI53</f>
        <v>1225.3104306085588</v>
      </c>
      <c r="I32" s="287">
        <f>AI54</f>
        <v>0</v>
      </c>
      <c r="J32" s="306">
        <f>AP53</f>
        <v>7.0909168437995303E-3</v>
      </c>
      <c r="K32" s="394">
        <f>AP54</f>
        <v>6.5104166666697227E-3</v>
      </c>
      <c r="L32" s="395"/>
      <c r="M32" s="194">
        <f>AI55</f>
        <v>1687.500000000711</v>
      </c>
      <c r="N32" s="287">
        <f>AI56</f>
        <v>-1225.3104306085588</v>
      </c>
      <c r="O32" s="287">
        <f>AI57</f>
        <v>122531.04306085501</v>
      </c>
      <c r="P32" s="306">
        <f>AP56</f>
        <v>7.0909168437995303E-3</v>
      </c>
      <c r="Q32" s="390">
        <f>AP57</f>
        <v>4.7535573675605708E-2</v>
      </c>
      <c r="R32" s="391"/>
      <c r="W32" s="126">
        <v>2</v>
      </c>
      <c r="X32" s="85">
        <f>B33</f>
        <v>0</v>
      </c>
      <c r="Y32" s="85">
        <f>C33</f>
        <v>100</v>
      </c>
      <c r="Z32" s="124">
        <v>0</v>
      </c>
      <c r="AA32" s="124">
        <v>0</v>
      </c>
      <c r="AB32" s="124">
        <v>0</v>
      </c>
      <c r="AC32" s="228">
        <f>G8</f>
        <v>0.15344750009439326</v>
      </c>
      <c r="AD32" s="228">
        <f>G9</f>
        <v>4.4642857142875952E-4</v>
      </c>
      <c r="AE32" s="226">
        <f>G10</f>
        <v>-1.4793151259739339E-3</v>
      </c>
    </row>
    <row r="33" spans="1:31" x14ac:dyDescent="0.25">
      <c r="A33" s="149">
        <v>2</v>
      </c>
      <c r="B33" s="85">
        <f t="shared" ref="B33:C47" si="3">D32</f>
        <v>0</v>
      </c>
      <c r="C33" s="85">
        <f t="shared" si="3"/>
        <v>100</v>
      </c>
      <c r="D33" s="85">
        <f>B33</f>
        <v>0</v>
      </c>
      <c r="E33" s="85">
        <f>C33+$F$27/4</f>
        <v>200</v>
      </c>
      <c r="F33" s="227">
        <f>SQRT(((D33-B33)^2)+((E33-C33)^2))</f>
        <v>100</v>
      </c>
      <c r="G33" s="194">
        <f>AI61</f>
        <v>-1687.5000000007108</v>
      </c>
      <c r="H33" s="287">
        <f>AI62</f>
        <v>1225.3104306086025</v>
      </c>
      <c r="I33" s="287">
        <f>AI63</f>
        <v>-122531.04306085594</v>
      </c>
      <c r="J33" s="306">
        <f>AP62</f>
        <v>6.3818251594198044E-3</v>
      </c>
      <c r="K33" s="394">
        <f>AP63</f>
        <v>3.5281033320880666E-2</v>
      </c>
      <c r="L33" s="395"/>
      <c r="M33" s="194">
        <f>AI64</f>
        <v>1687.5000000007108</v>
      </c>
      <c r="N33" s="287">
        <f>AI65</f>
        <v>-1225.3104306086025</v>
      </c>
      <c r="O33" s="287">
        <f>AI66</f>
        <v>245062.08612171561</v>
      </c>
      <c r="P33" s="306">
        <f>AP65</f>
        <v>6.3818251594198044E-3</v>
      </c>
      <c r="Q33" s="390">
        <f>AP66</f>
        <v>6.4702691641759763E-2</v>
      </c>
      <c r="R33" s="391"/>
      <c r="W33" s="126">
        <v>3</v>
      </c>
      <c r="X33" s="85">
        <f t="shared" ref="X33:Y46" si="4">B34</f>
        <v>0</v>
      </c>
      <c r="Y33" s="85">
        <f t="shared" si="4"/>
        <v>200</v>
      </c>
      <c r="Z33" s="124">
        <v>0</v>
      </c>
      <c r="AA33" s="124">
        <v>0</v>
      </c>
      <c r="AB33" s="124">
        <v>0</v>
      </c>
      <c r="AC33" s="228">
        <f>G11</f>
        <v>0.29526542135238337</v>
      </c>
      <c r="AD33" s="228">
        <f>G12</f>
        <v>8.4821428571464305E-4</v>
      </c>
      <c r="AE33" s="226">
        <f>G13</f>
        <v>-1.3417593208373598E-3</v>
      </c>
    </row>
    <row r="34" spans="1:31" x14ac:dyDescent="0.25">
      <c r="A34" s="149">
        <v>3</v>
      </c>
      <c r="B34" s="85">
        <f t="shared" si="3"/>
        <v>0</v>
      </c>
      <c r="C34" s="85">
        <f t="shared" si="3"/>
        <v>200</v>
      </c>
      <c r="D34" s="85">
        <f>B34</f>
        <v>0</v>
      </c>
      <c r="E34" s="85">
        <f>C34+$F$27/4</f>
        <v>300</v>
      </c>
      <c r="F34" s="227">
        <f>SQRT(((D34-B34)^2)+((E34-C34)^2))</f>
        <v>100</v>
      </c>
      <c r="G34" s="194">
        <f>AI70</f>
        <v>-1687.5000000007112</v>
      </c>
      <c r="H34" s="287">
        <f>AI71</f>
        <v>1225.3104306085443</v>
      </c>
      <c r="I34" s="287">
        <f>AI72</f>
        <v>-245062.08612171747</v>
      </c>
      <c r="J34" s="306">
        <f>AP71</f>
        <v>5.8016592358359105E-3</v>
      </c>
      <c r="K34" s="394">
        <f>AP72</f>
        <v>5.0377826659145947E-2</v>
      </c>
      <c r="L34" s="395"/>
      <c r="M34" s="194">
        <f>AI73</f>
        <v>1687.5000000007112</v>
      </c>
      <c r="N34" s="287">
        <f>AI74</f>
        <v>-1225.3104306085443</v>
      </c>
      <c r="O34" s="287">
        <f>AI75</f>
        <v>367593.12918257341</v>
      </c>
      <c r="P34" s="306">
        <f>AP74</f>
        <v>5.8016592358359105E-3</v>
      </c>
      <c r="Q34" s="390">
        <f>AP75</f>
        <v>7.2903387715990003E-2</v>
      </c>
      <c r="R34" s="391"/>
      <c r="W34" s="229">
        <v>4</v>
      </c>
      <c r="X34" s="85">
        <f t="shared" si="4"/>
        <v>0</v>
      </c>
      <c r="Y34" s="85">
        <f t="shared" si="4"/>
        <v>300</v>
      </c>
      <c r="Z34" s="124">
        <v>0</v>
      </c>
      <c r="AA34" s="124">
        <v>0</v>
      </c>
      <c r="AB34" s="124">
        <v>0</v>
      </c>
      <c r="AC34" s="230">
        <f>G14</f>
        <v>0.42276711312298026</v>
      </c>
      <c r="AD34" s="230">
        <f>G15</f>
        <v>1.2134740259745372E-3</v>
      </c>
      <c r="AE34" s="231">
        <f>G16</f>
        <v>-1.1987398855558078E-3</v>
      </c>
    </row>
    <row r="35" spans="1:31" x14ac:dyDescent="0.25">
      <c r="A35" s="149">
        <v>4</v>
      </c>
      <c r="B35" s="85">
        <f t="shared" si="3"/>
        <v>0</v>
      </c>
      <c r="C35" s="85">
        <f t="shared" si="3"/>
        <v>300</v>
      </c>
      <c r="D35" s="85">
        <f>B35</f>
        <v>0</v>
      </c>
      <c r="E35" s="85">
        <f>C35+$F$27/4</f>
        <v>400</v>
      </c>
      <c r="F35" s="227">
        <f>SQRT(((D35-B35)^2)+((E35-C35)^2))</f>
        <v>100</v>
      </c>
      <c r="G35" s="194">
        <f>AI79</f>
        <v>-1687.5000000007103</v>
      </c>
      <c r="H35" s="287">
        <f>AI80</f>
        <v>1225.3104306086607</v>
      </c>
      <c r="I35" s="287">
        <f>AI81</f>
        <v>-367593.12918259203</v>
      </c>
      <c r="J35" s="306">
        <f>AP80</f>
        <v>5.3181876328500903E-3</v>
      </c>
      <c r="K35" s="394">
        <f>AP81</f>
        <v>5.8851735624061256E-2</v>
      </c>
      <c r="L35" s="395"/>
      <c r="M35" s="194">
        <f>AI82</f>
        <v>1687.5000000007103</v>
      </c>
      <c r="N35" s="287">
        <f>AI83</f>
        <v>-1225.3104306086607</v>
      </c>
      <c r="O35" s="287">
        <f>AI84</f>
        <v>490124.17224343121</v>
      </c>
      <c r="P35" s="306">
        <f>AP83</f>
        <v>5.3181876328500903E-3</v>
      </c>
      <c r="Q35" s="390">
        <f>AP84</f>
        <v>7.6841376665410674E-2</v>
      </c>
      <c r="R35" s="391"/>
      <c r="W35" s="323">
        <v>5</v>
      </c>
      <c r="X35" s="322">
        <f t="shared" si="4"/>
        <v>0</v>
      </c>
      <c r="Y35" s="322">
        <f t="shared" si="4"/>
        <v>400</v>
      </c>
      <c r="Z35" s="124">
        <v>0</v>
      </c>
      <c r="AA35" s="124">
        <v>0</v>
      </c>
      <c r="AB35" s="124">
        <v>0</v>
      </c>
      <c r="AC35" s="233">
        <f>G17</f>
        <v>0.53621622987807804</v>
      </c>
      <c r="AD35" s="233">
        <f>G18</f>
        <v>1.5482954545461068E-3</v>
      </c>
      <c r="AE35" s="234">
        <f>G19</f>
        <v>-1.0638175777456641E-3</v>
      </c>
    </row>
    <row r="36" spans="1:31" x14ac:dyDescent="0.25">
      <c r="A36" s="149">
        <v>5</v>
      </c>
      <c r="B36" s="85">
        <f t="shared" si="3"/>
        <v>0</v>
      </c>
      <c r="C36" s="85">
        <f t="shared" si="3"/>
        <v>400</v>
      </c>
      <c r="D36" s="85">
        <f>B27/4</f>
        <v>100</v>
      </c>
      <c r="E36" s="85">
        <f>E35+H27/4</f>
        <v>425</v>
      </c>
      <c r="F36" s="227">
        <f>SQRT(((D36-B36)^2)+((E36-C36)^2))</f>
        <v>103.07764064044152</v>
      </c>
      <c r="G36" s="194">
        <f>AI88</f>
        <v>-1598.0045918544638</v>
      </c>
      <c r="H36" s="287">
        <f>AI89</f>
        <v>-1339.9340378446577</v>
      </c>
      <c r="I36" s="287">
        <f>AI90</f>
        <v>-490124.17224344274</v>
      </c>
      <c r="J36" s="306">
        <f>AP89</f>
        <v>7.7542479041936207E-3</v>
      </c>
      <c r="K36" s="394">
        <f>AP90</f>
        <v>0.17026576920803083</v>
      </c>
      <c r="L36" s="395"/>
      <c r="M36" s="194">
        <f>AI91</f>
        <v>1598.0045918544638</v>
      </c>
      <c r="N36" s="287">
        <f>AI92</f>
        <v>1339.9340378446577</v>
      </c>
      <c r="O36" s="287">
        <f>AI93</f>
        <v>352006.93300859747</v>
      </c>
      <c r="P36" s="306">
        <f>AP92</f>
        <v>7.7542479041936207E-3</v>
      </c>
      <c r="Q36" s="390">
        <f>AP93</f>
        <v>0.12402212936211693</v>
      </c>
      <c r="R36" s="391"/>
      <c r="W36" s="232">
        <v>6</v>
      </c>
      <c r="X36" s="85">
        <f t="shared" si="4"/>
        <v>100</v>
      </c>
      <c r="Y36" s="85">
        <f t="shared" si="4"/>
        <v>425</v>
      </c>
      <c r="Z36" s="124">
        <v>0</v>
      </c>
      <c r="AA36" s="124">
        <v>0</v>
      </c>
      <c r="AB36" s="124">
        <v>0</v>
      </c>
      <c r="AC36" s="233">
        <f>G20</f>
        <v>0.55550692078249475</v>
      </c>
      <c r="AD36" s="233">
        <f>G21</f>
        <v>-7.381776987862855E-2</v>
      </c>
      <c r="AE36" s="234">
        <f>G22</f>
        <v>-4.7766243473113489E-4</v>
      </c>
    </row>
    <row r="37" spans="1:31" x14ac:dyDescent="0.25">
      <c r="A37" s="149">
        <v>6</v>
      </c>
      <c r="B37" s="85">
        <f t="shared" si="3"/>
        <v>100</v>
      </c>
      <c r="C37" s="85">
        <f t="shared" si="3"/>
        <v>425</v>
      </c>
      <c r="D37" s="85">
        <f>B37+$B$27/4</f>
        <v>200</v>
      </c>
      <c r="E37" s="85">
        <f>C37+$H$27/4</f>
        <v>450</v>
      </c>
      <c r="F37" s="227">
        <f t="shared" ref="F37:F47" si="5">SQRT(((D37-B37)^2)+((E37-C37)^2))</f>
        <v>103.07764064044152</v>
      </c>
      <c r="G37" s="194">
        <f>AI97</f>
        <v>-1598.0045918538381</v>
      </c>
      <c r="H37" s="287">
        <f>AI98</f>
        <v>-1339.9340378449087</v>
      </c>
      <c r="I37" s="287">
        <f>AI99</f>
        <v>-352006.93300859816</v>
      </c>
      <c r="J37" s="306">
        <f>AP98</f>
        <v>8.2103801338536068E-3</v>
      </c>
      <c r="K37" s="394">
        <f>AP99</f>
        <v>0.15111824108058733</v>
      </c>
      <c r="L37" s="395"/>
      <c r="M37" s="194">
        <f>AI100</f>
        <v>1598.0045918538381</v>
      </c>
      <c r="N37" s="287">
        <f>AI101</f>
        <v>1339.9340378449087</v>
      </c>
      <c r="O37" s="287">
        <f>AI102</f>
        <v>213889.69377372466</v>
      </c>
      <c r="P37" s="306">
        <f>AP101</f>
        <v>8.2103801338536068E-3</v>
      </c>
      <c r="Q37" s="390">
        <f>AP102</f>
        <v>9.4385173780906148E-2</v>
      </c>
      <c r="R37" s="391"/>
      <c r="W37" s="232">
        <v>7</v>
      </c>
      <c r="X37" s="85">
        <f t="shared" si="4"/>
        <v>200</v>
      </c>
      <c r="Y37" s="85">
        <f t="shared" si="4"/>
        <v>450</v>
      </c>
      <c r="Z37" s="124">
        <v>0</v>
      </c>
      <c r="AA37" s="124">
        <v>0</v>
      </c>
      <c r="AB37" s="124">
        <v>0</v>
      </c>
      <c r="AC37" s="233">
        <f>G23</f>
        <v>0.56023812860037348</v>
      </c>
      <c r="AD37" s="233">
        <f>G24</f>
        <v>-9.0840214731269825E-2</v>
      </c>
      <c r="AE37" s="234">
        <f>G25</f>
        <v>8.888352882838425E-5</v>
      </c>
    </row>
    <row r="38" spans="1:31" x14ac:dyDescent="0.25">
      <c r="A38" s="149">
        <v>7</v>
      </c>
      <c r="B38" s="85">
        <f t="shared" si="3"/>
        <v>200</v>
      </c>
      <c r="C38" s="85">
        <f t="shared" si="3"/>
        <v>450</v>
      </c>
      <c r="D38" s="85">
        <f>B38+$B$27/4</f>
        <v>300</v>
      </c>
      <c r="E38" s="85">
        <f>C38+$H$27/4</f>
        <v>475</v>
      </c>
      <c r="F38" s="227">
        <f t="shared" si="5"/>
        <v>103.07764064044152</v>
      </c>
      <c r="G38" s="194">
        <f>AI106</f>
        <v>-1598.0045918531978</v>
      </c>
      <c r="H38" s="287">
        <f>AI107</f>
        <v>-1339.934037844987</v>
      </c>
      <c r="I38" s="287">
        <f>AI108</f>
        <v>-213889.69377372519</v>
      </c>
      <c r="J38" s="306">
        <f>AP107</f>
        <v>8.7235288922199675E-3</v>
      </c>
      <c r="K38" s="394">
        <f>AP108</f>
        <v>0.11908432291996351</v>
      </c>
      <c r="L38" s="395"/>
      <c r="M38" s="194">
        <f>AI109</f>
        <v>1598.0045918531978</v>
      </c>
      <c r="N38" s="287">
        <f>AI110</f>
        <v>1339.934037844987</v>
      </c>
      <c r="O38" s="287">
        <f>AI111</f>
        <v>75772.454538844526</v>
      </c>
      <c r="P38" s="306">
        <f>AP110</f>
        <v>8.7235288922199675E-3</v>
      </c>
      <c r="Q38" s="390">
        <f>AP111</f>
        <v>4.6665468455365858E-2</v>
      </c>
      <c r="R38" s="391"/>
      <c r="W38" s="232">
        <v>8</v>
      </c>
      <c r="X38" s="85">
        <f t="shared" si="4"/>
        <v>300</v>
      </c>
      <c r="Y38" s="85">
        <f t="shared" si="4"/>
        <v>475</v>
      </c>
      <c r="Z38" s="124">
        <v>0</v>
      </c>
      <c r="AA38" s="124">
        <v>0</v>
      </c>
      <c r="AB38" s="124">
        <v>0</v>
      </c>
      <c r="AC38" s="233">
        <f>K7</f>
        <v>0.55201181417977163</v>
      </c>
      <c r="AD38" s="233">
        <f>K8</f>
        <v>-5.5913671478809691E-2</v>
      </c>
      <c r="AE38" s="234">
        <f>K9</f>
        <v>5.3617635647251977E-4</v>
      </c>
    </row>
    <row r="39" spans="1:31" x14ac:dyDescent="0.25">
      <c r="A39" s="149">
        <v>8</v>
      </c>
      <c r="B39" s="85">
        <f t="shared" si="3"/>
        <v>300</v>
      </c>
      <c r="C39" s="85">
        <f t="shared" si="3"/>
        <v>475</v>
      </c>
      <c r="D39" s="85">
        <f>B39+$B$27/4</f>
        <v>400</v>
      </c>
      <c r="E39" s="85">
        <f>C39+$H$27/4</f>
        <v>500</v>
      </c>
      <c r="F39" s="227">
        <f t="shared" si="5"/>
        <v>103.07764064044152</v>
      </c>
      <c r="G39" s="194">
        <f>AI115</f>
        <v>-1598.0045918533547</v>
      </c>
      <c r="H39" s="287">
        <f>AI116</f>
        <v>-1339.9340378450452</v>
      </c>
      <c r="I39" s="287">
        <f>AI117</f>
        <v>-75772.454538845748</v>
      </c>
      <c r="J39" s="306">
        <f>AP116</f>
        <v>8.7235288922203457E-3</v>
      </c>
      <c r="K39" s="394">
        <f>AP117</f>
        <v>4.6665468455367183E-2</v>
      </c>
      <c r="L39" s="395"/>
      <c r="M39" s="194">
        <f>AI118</f>
        <v>1598.0045918533547</v>
      </c>
      <c r="N39" s="287">
        <f>AI119</f>
        <v>1339.9340378450452</v>
      </c>
      <c r="O39" s="287">
        <f>AI120</f>
        <v>-62344.784696042305</v>
      </c>
      <c r="P39" s="306">
        <f>AP119</f>
        <v>8.7235288922203457E-3</v>
      </c>
      <c r="Q39" s="390">
        <f>AP120</f>
        <v>3.9624953646850272E-2</v>
      </c>
      <c r="R39" s="391"/>
      <c r="W39" s="323">
        <v>9</v>
      </c>
      <c r="X39" s="322">
        <f t="shared" si="4"/>
        <v>400</v>
      </c>
      <c r="Y39" s="322">
        <f t="shared" si="4"/>
        <v>500</v>
      </c>
      <c r="Z39" s="124">
        <v>2500</v>
      </c>
      <c r="AA39" s="124">
        <v>250</v>
      </c>
      <c r="AB39" s="124">
        <v>0</v>
      </c>
      <c r="AC39" s="233">
        <f>K10</f>
        <v>0.53793515382241941</v>
      </c>
      <c r="AD39" s="233">
        <f>K11</f>
        <v>2.4142555206516508E-3</v>
      </c>
      <c r="AE39" s="234">
        <f>K12</f>
        <v>5.5691120376840557E-4</v>
      </c>
    </row>
    <row r="40" spans="1:31" x14ac:dyDescent="0.25">
      <c r="A40" s="149">
        <v>9</v>
      </c>
      <c r="B40" s="85">
        <f t="shared" si="3"/>
        <v>400</v>
      </c>
      <c r="C40" s="85">
        <f t="shared" si="3"/>
        <v>500</v>
      </c>
      <c r="D40" s="85">
        <f>B40+$D$27/4</f>
        <v>500</v>
      </c>
      <c r="E40" s="85">
        <f>E39-$H$27/4</f>
        <v>475</v>
      </c>
      <c r="F40" s="227">
        <f t="shared" si="5"/>
        <v>103.07764064044152</v>
      </c>
      <c r="G40" s="194">
        <f>AI124</f>
        <v>1585.2754867481563</v>
      </c>
      <c r="H40" s="287">
        <f>AI125</f>
        <v>-1085.4222125201049</v>
      </c>
      <c r="I40" s="287">
        <f>AI126</f>
        <v>62344.784696038812</v>
      </c>
      <c r="J40" s="306">
        <f>AP125</f>
        <v>4.7110339085073994E-3</v>
      </c>
      <c r="K40" s="394">
        <f>AP126</f>
        <v>1.3740298686580006E-2</v>
      </c>
      <c r="L40" s="395"/>
      <c r="M40" s="194">
        <f>AI127</f>
        <v>-1585.2754867481563</v>
      </c>
      <c r="N40" s="287">
        <f>AI128</f>
        <v>1085.4222125201049</v>
      </c>
      <c r="O40" s="287">
        <f>AI129</f>
        <v>-174227.54546133801</v>
      </c>
      <c r="P40" s="306">
        <f>AP128</f>
        <v>4.7110339085073994E-3</v>
      </c>
      <c r="Q40" s="390">
        <f>AP129</f>
        <v>3.0166590788603023E-2</v>
      </c>
      <c r="R40" s="391"/>
      <c r="W40" s="232">
        <v>10</v>
      </c>
      <c r="X40" s="85">
        <f t="shared" si="4"/>
        <v>500</v>
      </c>
      <c r="Y40" s="85">
        <f t="shared" si="4"/>
        <v>475</v>
      </c>
      <c r="Z40" s="124">
        <v>0</v>
      </c>
      <c r="AA40" s="124">
        <v>0</v>
      </c>
      <c r="AB40" s="124">
        <v>0</v>
      </c>
      <c r="AC40" s="233">
        <f>K13</f>
        <v>0.5511394953690697</v>
      </c>
      <c r="AD40" s="233">
        <f>K14</f>
        <v>5.6568411552229296E-2</v>
      </c>
      <c r="AE40" s="234">
        <f>K15</f>
        <v>5.1855213923378339E-4</v>
      </c>
    </row>
    <row r="41" spans="1:31" x14ac:dyDescent="0.25">
      <c r="A41" s="149">
        <v>10</v>
      </c>
      <c r="B41" s="85">
        <f t="shared" si="3"/>
        <v>500</v>
      </c>
      <c r="C41" s="85">
        <f t="shared" si="3"/>
        <v>475</v>
      </c>
      <c r="D41" s="85">
        <f>B41+$D$27/4</f>
        <v>600</v>
      </c>
      <c r="E41" s="85">
        <f>E40-$H$27/4</f>
        <v>450</v>
      </c>
      <c r="F41" s="227">
        <f t="shared" si="5"/>
        <v>103.07764064044152</v>
      </c>
      <c r="G41" s="194">
        <f>AI133</f>
        <v>1585.2754867501208</v>
      </c>
      <c r="H41" s="287">
        <f>AI134</f>
        <v>-1085.422212519833</v>
      </c>
      <c r="I41" s="287">
        <f>AI135</f>
        <v>174227.54546133071</v>
      </c>
      <c r="J41" s="306">
        <f>AP134</f>
        <v>6.6508714002440749E-3</v>
      </c>
      <c r="K41" s="394">
        <f>AP135</f>
        <v>7.8041543114817855E-2</v>
      </c>
      <c r="L41" s="395"/>
      <c r="M41" s="194">
        <f>AI136</f>
        <v>-1585.2754867501208</v>
      </c>
      <c r="N41" s="287">
        <f>AI137</f>
        <v>1085.422212519833</v>
      </c>
      <c r="O41" s="287">
        <f>AI138</f>
        <v>-286110.30622660386</v>
      </c>
      <c r="P41" s="306">
        <f>AP137</f>
        <v>6.6508714002440749E-3</v>
      </c>
      <c r="Q41" s="390">
        <f>AP138</f>
        <v>0.12399853031882857</v>
      </c>
      <c r="R41" s="391"/>
      <c r="W41" s="232">
        <v>11</v>
      </c>
      <c r="X41" s="85">
        <f t="shared" si="4"/>
        <v>600</v>
      </c>
      <c r="Y41" s="85">
        <f t="shared" si="4"/>
        <v>450</v>
      </c>
      <c r="Z41" s="124">
        <v>0</v>
      </c>
      <c r="AA41" s="124">
        <v>0</v>
      </c>
      <c r="AB41" s="124">
        <v>0</v>
      </c>
      <c r="AC41" s="233">
        <f>K16</f>
        <v>0.55836513136048438</v>
      </c>
      <c r="AD41" s="233">
        <f>K17</f>
        <v>8.735818824020937E-2</v>
      </c>
      <c r="AE41" s="234">
        <f>K18</f>
        <v>5.7686073941296082E-5</v>
      </c>
    </row>
    <row r="42" spans="1:31" x14ac:dyDescent="0.25">
      <c r="A42" s="149">
        <v>11</v>
      </c>
      <c r="B42" s="85">
        <f t="shared" si="3"/>
        <v>600</v>
      </c>
      <c r="C42" s="85">
        <f t="shared" si="3"/>
        <v>450</v>
      </c>
      <c r="D42" s="85">
        <f>B42+$D$27/4</f>
        <v>700</v>
      </c>
      <c r="E42" s="85">
        <f>E41-$H$27/4</f>
        <v>425</v>
      </c>
      <c r="F42" s="227">
        <f t="shared" si="5"/>
        <v>103.07764064044152</v>
      </c>
      <c r="G42" s="194">
        <f>AI142</f>
        <v>1585.2754867500553</v>
      </c>
      <c r="H42" s="287">
        <f>AI143</f>
        <v>-1085.4222125196793</v>
      </c>
      <c r="I42" s="287">
        <f>AI144</f>
        <v>286110.30622660462</v>
      </c>
      <c r="J42" s="306">
        <f>AP143</f>
        <v>6.2813785446740704E-3</v>
      </c>
      <c r="K42" s="394">
        <f>AP144</f>
        <v>0.101909880954468</v>
      </c>
      <c r="L42" s="395"/>
      <c r="M42" s="194">
        <f>AI145</f>
        <v>-1585.2754867500553</v>
      </c>
      <c r="N42" s="287">
        <f>AI146</f>
        <v>1085.4222125196793</v>
      </c>
      <c r="O42" s="287">
        <f>AI147</f>
        <v>-397993.06699186191</v>
      </c>
      <c r="P42" s="306">
        <f>AP146</f>
        <v>6.2813785446740704E-3</v>
      </c>
      <c r="Q42" s="390">
        <f>AP147</f>
        <v>0.13936983977248207</v>
      </c>
      <c r="R42" s="391"/>
      <c r="W42" s="232">
        <v>12</v>
      </c>
      <c r="X42" s="85">
        <f t="shared" si="4"/>
        <v>700</v>
      </c>
      <c r="Y42" s="85">
        <f t="shared" si="4"/>
        <v>425</v>
      </c>
      <c r="Z42" s="124">
        <v>0</v>
      </c>
      <c r="AA42" s="124">
        <v>0</v>
      </c>
      <c r="AB42" s="124">
        <v>0</v>
      </c>
      <c r="AC42" s="233">
        <f>K19</f>
        <v>0.55376035261392198</v>
      </c>
      <c r="AD42" s="233">
        <f>K20</f>
        <v>7.072145971393004E-2</v>
      </c>
      <c r="AE42" s="234">
        <f>K21</f>
        <v>-4.1847578264465592E-4</v>
      </c>
    </row>
    <row r="43" spans="1:31" x14ac:dyDescent="0.25">
      <c r="A43" s="149">
        <v>12</v>
      </c>
      <c r="B43" s="85">
        <f t="shared" si="3"/>
        <v>700</v>
      </c>
      <c r="C43" s="85">
        <f t="shared" si="3"/>
        <v>425</v>
      </c>
      <c r="D43" s="85">
        <f>B43+$D$27/4</f>
        <v>800</v>
      </c>
      <c r="E43" s="85">
        <f>E42-$H$27/4</f>
        <v>400</v>
      </c>
      <c r="F43" s="227">
        <f t="shared" si="5"/>
        <v>103.07764064044152</v>
      </c>
      <c r="G43" s="194">
        <f>AI151</f>
        <v>1585.2754867503704</v>
      </c>
      <c r="H43" s="287">
        <f>AI152</f>
        <v>-1085.4222125196247</v>
      </c>
      <c r="I43" s="287">
        <f>AI153</f>
        <v>397993.06699186121</v>
      </c>
      <c r="J43" s="306">
        <f>AP152</f>
        <v>6.2813785446737547E-3</v>
      </c>
      <c r="K43" s="394">
        <f>AP153</f>
        <v>0.13936983977248305</v>
      </c>
      <c r="L43" s="395"/>
      <c r="M43" s="194">
        <f>AI154</f>
        <v>-1585.2754867503704</v>
      </c>
      <c r="N43" s="287">
        <f>AI155</f>
        <v>1085.4222125196247</v>
      </c>
      <c r="O43" s="287">
        <f>AI156</f>
        <v>-509875.82775710849</v>
      </c>
      <c r="P43" s="306">
        <f>AP155</f>
        <v>6.2813785446737547E-3</v>
      </c>
      <c r="Q43" s="390">
        <f>AP156</f>
        <v>0.1768297985904938</v>
      </c>
      <c r="R43" s="391"/>
      <c r="W43" s="323">
        <v>13</v>
      </c>
      <c r="X43" s="322">
        <f t="shared" si="4"/>
        <v>800</v>
      </c>
      <c r="Y43" s="322">
        <f t="shared" si="4"/>
        <v>400</v>
      </c>
      <c r="Z43" s="124">
        <v>0</v>
      </c>
      <c r="AA43" s="124">
        <v>0</v>
      </c>
      <c r="AB43" s="124">
        <v>0</v>
      </c>
      <c r="AC43" s="233">
        <f>K22</f>
        <v>0.53530466148290456</v>
      </c>
      <c r="AD43" s="233">
        <f>K23</f>
        <v>-1.3189183501690945E-3</v>
      </c>
      <c r="AE43" s="234">
        <f>K24</f>
        <v>-1.0503869168150982E-3</v>
      </c>
    </row>
    <row r="44" spans="1:31" x14ac:dyDescent="0.25">
      <c r="A44" s="149">
        <v>13</v>
      </c>
      <c r="B44" s="85">
        <f t="shared" si="3"/>
        <v>800</v>
      </c>
      <c r="C44" s="85">
        <f t="shared" si="3"/>
        <v>400</v>
      </c>
      <c r="D44" s="85">
        <f>D43</f>
        <v>800</v>
      </c>
      <c r="E44" s="85">
        <f>C44-$F$27/4</f>
        <v>300</v>
      </c>
      <c r="F44" s="227">
        <f t="shared" si="5"/>
        <v>100</v>
      </c>
      <c r="G44" s="194">
        <f>AI160</f>
        <v>1437.5000000008113</v>
      </c>
      <c r="H44" s="287">
        <f>AI161</f>
        <v>1274.6895693931729</v>
      </c>
      <c r="I44" s="287">
        <f>AI162</f>
        <v>509875.82775712758</v>
      </c>
      <c r="J44" s="306">
        <f>AP161</f>
        <v>5.5325068116023135E-3</v>
      </c>
      <c r="K44" s="394">
        <f>AP162</f>
        <v>7.9017875987169708E-2</v>
      </c>
      <c r="L44" s="395"/>
      <c r="M44" s="194">
        <f>AI163</f>
        <v>-1437.5000000008113</v>
      </c>
      <c r="N44" s="287">
        <f>AI164</f>
        <v>-1274.6895693931729</v>
      </c>
      <c r="O44" s="287">
        <f>AI165</f>
        <v>-382406.8708178103</v>
      </c>
      <c r="P44" s="306">
        <f>AP164</f>
        <v>5.5325068116023135E-3</v>
      </c>
      <c r="Q44" s="390">
        <f>AP165</f>
        <v>6.0303265207965258E-2</v>
      </c>
      <c r="R44" s="391"/>
      <c r="W44" s="232">
        <v>14</v>
      </c>
      <c r="X44" s="85">
        <f t="shared" si="4"/>
        <v>800</v>
      </c>
      <c r="Y44" s="85">
        <f t="shared" si="4"/>
        <v>300</v>
      </c>
      <c r="Z44" s="124">
        <v>0</v>
      </c>
      <c r="AA44" s="124">
        <v>0</v>
      </c>
      <c r="AB44" s="124">
        <v>0</v>
      </c>
      <c r="AC44" s="233">
        <f>K25</f>
        <v>0.42291380128099526</v>
      </c>
      <c r="AD44" s="233">
        <f>O7</f>
        <v>-1.0337000962006796E-3</v>
      </c>
      <c r="AE44" s="234">
        <f>O8</f>
        <v>-1.190746497659087E-3</v>
      </c>
    </row>
    <row r="45" spans="1:31" x14ac:dyDescent="0.25">
      <c r="A45" s="149">
        <v>14</v>
      </c>
      <c r="B45" s="85">
        <f t="shared" si="3"/>
        <v>800</v>
      </c>
      <c r="C45" s="85">
        <f t="shared" si="3"/>
        <v>300</v>
      </c>
      <c r="D45" s="85">
        <f>D44</f>
        <v>800</v>
      </c>
      <c r="E45" s="85">
        <f>C45-$F$27/4</f>
        <v>200</v>
      </c>
      <c r="F45" s="227">
        <f t="shared" si="5"/>
        <v>100</v>
      </c>
      <c r="G45" s="194">
        <f>AI169</f>
        <v>1437.5000000008117</v>
      </c>
      <c r="H45" s="287">
        <f>AI170</f>
        <v>1274.6895693926199</v>
      </c>
      <c r="I45" s="287">
        <f>AI171</f>
        <v>382406.87081781309</v>
      </c>
      <c r="J45" s="306">
        <f>AP170</f>
        <v>6.0354619762908145E-3</v>
      </c>
      <c r="K45" s="394">
        <f>AP171</f>
        <v>7.483753856599111E-2</v>
      </c>
      <c r="L45" s="395"/>
      <c r="M45" s="194">
        <f>AI172</f>
        <v>-1437.5000000008117</v>
      </c>
      <c r="N45" s="287">
        <f>AI173</f>
        <v>-1274.6895693926199</v>
      </c>
      <c r="O45" s="287">
        <f>AI174</f>
        <v>-254937.91387855448</v>
      </c>
      <c r="P45" s="306">
        <f>AP173</f>
        <v>6.0354619762908145E-3</v>
      </c>
      <c r="Q45" s="390">
        <f>AP174</f>
        <v>5.1404213421101602E-2</v>
      </c>
      <c r="R45" s="391"/>
      <c r="W45" s="232">
        <v>15</v>
      </c>
      <c r="X45" s="85">
        <f t="shared" si="4"/>
        <v>800</v>
      </c>
      <c r="Y45" s="85">
        <f t="shared" si="4"/>
        <v>200</v>
      </c>
      <c r="Z45" s="124">
        <v>0</v>
      </c>
      <c r="AA45" s="124">
        <v>0</v>
      </c>
      <c r="AB45" s="124">
        <v>0</v>
      </c>
      <c r="AC45" s="233">
        <f>O9</f>
        <v>0.29590405728612845</v>
      </c>
      <c r="AD45" s="233">
        <f>O10</f>
        <v>-7.2255291005331786E-4</v>
      </c>
      <c r="AE45" s="234">
        <f>O11</f>
        <v>-1.3395295144520527E-3</v>
      </c>
    </row>
    <row r="46" spans="1:31" x14ac:dyDescent="0.25">
      <c r="A46" s="149">
        <v>15</v>
      </c>
      <c r="B46" s="85">
        <f t="shared" si="3"/>
        <v>800</v>
      </c>
      <c r="C46" s="85">
        <f t="shared" si="3"/>
        <v>200</v>
      </c>
      <c r="D46" s="85">
        <f>D45</f>
        <v>800</v>
      </c>
      <c r="E46" s="85">
        <f>C46-$F$27/4</f>
        <v>100</v>
      </c>
      <c r="F46" s="227">
        <f t="shared" si="5"/>
        <v>100</v>
      </c>
      <c r="G46" s="194">
        <f>AI178</f>
        <v>1437.5000000008117</v>
      </c>
      <c r="H46" s="287">
        <f>AI179</f>
        <v>1274.6895693928091</v>
      </c>
      <c r="I46" s="287">
        <f>AI180</f>
        <v>254937.91387855262</v>
      </c>
      <c r="J46" s="306">
        <f>AP179</f>
        <v>6.6390081739208804E-3</v>
      </c>
      <c r="K46" s="394">
        <f>AP180</f>
        <v>6.6205979891326608E-2</v>
      </c>
      <c r="L46" s="395"/>
      <c r="M46" s="194">
        <f>AI181</f>
        <v>-1437.5000000008117</v>
      </c>
      <c r="N46" s="287">
        <f>AI182</f>
        <v>-1274.6895693928091</v>
      </c>
      <c r="O46" s="287">
        <f>AI183</f>
        <v>-127468.95693927258</v>
      </c>
      <c r="P46" s="306">
        <f>AP182</f>
        <v>6.6390081739208804E-3</v>
      </c>
      <c r="Q46" s="390">
        <f>AP183</f>
        <v>3.5598649667886041E-2</v>
      </c>
      <c r="R46" s="391"/>
      <c r="W46" s="232">
        <v>16</v>
      </c>
      <c r="X46" s="85">
        <f t="shared" si="4"/>
        <v>800</v>
      </c>
      <c r="Y46" s="85">
        <f t="shared" si="4"/>
        <v>100</v>
      </c>
      <c r="Z46" s="124">
        <v>0</v>
      </c>
      <c r="AA46" s="124">
        <v>0</v>
      </c>
      <c r="AB46" s="124">
        <v>0</v>
      </c>
      <c r="AC46" s="233">
        <f>O12</f>
        <v>0.15400114993873107</v>
      </c>
      <c r="AD46" s="233">
        <f>O13</f>
        <v>-3.8029100529121988E-4</v>
      </c>
      <c r="AE46" s="234">
        <f>O14</f>
        <v>-1.4826287206915103E-3</v>
      </c>
    </row>
    <row r="47" spans="1:31" ht="15.75" thickBot="1" x14ac:dyDescent="0.3">
      <c r="A47" s="150">
        <v>16</v>
      </c>
      <c r="B47" s="129">
        <f t="shared" si="3"/>
        <v>800</v>
      </c>
      <c r="C47" s="129">
        <f t="shared" si="3"/>
        <v>100</v>
      </c>
      <c r="D47" s="129">
        <f>D46</f>
        <v>800</v>
      </c>
      <c r="E47" s="129">
        <f>C47-$F$27/4</f>
        <v>0</v>
      </c>
      <c r="F47" s="307">
        <f t="shared" si="5"/>
        <v>100</v>
      </c>
      <c r="G47" s="206">
        <f>AI187</f>
        <v>1437.500000000811</v>
      </c>
      <c r="H47" s="197">
        <f>AI188</f>
        <v>1274.6895693927218</v>
      </c>
      <c r="I47" s="197">
        <f>AI189</f>
        <v>127468.95693927584</v>
      </c>
      <c r="J47" s="308">
        <f>AP188</f>
        <v>7.3766757488004731E-3</v>
      </c>
      <c r="K47" s="401">
        <f>AP189</f>
        <v>4.8224352148831418E-2</v>
      </c>
      <c r="L47" s="402"/>
      <c r="M47" s="206">
        <f>AI190</f>
        <v>-1437.500000000811</v>
      </c>
      <c r="N47" s="197">
        <f>AI191</f>
        <v>-1274.6895693927218</v>
      </c>
      <c r="O47" s="197">
        <f>AI192</f>
        <v>0</v>
      </c>
      <c r="P47" s="308">
        <f>AP191</f>
        <v>7.3766757488004731E-3</v>
      </c>
      <c r="Q47" s="392">
        <f>AP192</f>
        <v>5.545910493830913E-3</v>
      </c>
      <c r="R47" s="393"/>
      <c r="W47" s="235">
        <v>17</v>
      </c>
      <c r="X47" s="129">
        <f>D47</f>
        <v>800</v>
      </c>
      <c r="Y47" s="129">
        <f>E47</f>
        <v>0</v>
      </c>
      <c r="Z47" s="236">
        <v>0</v>
      </c>
      <c r="AA47" s="236">
        <v>0</v>
      </c>
      <c r="AB47" s="236">
        <v>0</v>
      </c>
      <c r="AC47" s="237">
        <v>0</v>
      </c>
      <c r="AD47" s="237">
        <v>0</v>
      </c>
      <c r="AE47" s="238">
        <f>O15</f>
        <v>-1.5687028887352115E-3</v>
      </c>
    </row>
    <row r="48" spans="1:31" ht="15.75" thickBot="1" x14ac:dyDescent="0.3">
      <c r="W48" s="59"/>
      <c r="X48" s="59"/>
      <c r="Y48" s="59"/>
      <c r="Z48" s="59"/>
      <c r="AA48" s="59"/>
      <c r="AB48" s="59"/>
      <c r="AC48" s="59"/>
      <c r="AD48" s="59"/>
      <c r="AE48" s="59"/>
    </row>
    <row r="49" spans="1:56" x14ac:dyDescent="0.25">
      <c r="A49" s="239" t="s">
        <v>279</v>
      </c>
      <c r="B49" s="240">
        <f>(D32-B32)/F32</f>
        <v>0</v>
      </c>
      <c r="C49" s="241" t="s">
        <v>280</v>
      </c>
      <c r="D49" s="240">
        <f>$B$8+0.5*B10</f>
        <v>17</v>
      </c>
      <c r="E49" s="241" t="s">
        <v>30</v>
      </c>
      <c r="F49" s="242">
        <f>2*((($B$7*($B$8)^3)/12)+($B$7*$B$8)*(B10+2*$B$8-0.5*$B$8-($B$8+0.5*B10))^2)+($B$9*(B10)^3)/12</f>
        <v>35260</v>
      </c>
      <c r="G49" s="241" t="s">
        <v>281</v>
      </c>
      <c r="H49" s="241">
        <f>4*$B$28*(2*((($B$7*($B$8)^3)/12)+($B$7*$B$8)*(B10+2*$B$8-0.5*$B$8-($B$8+0.5*B10))^2)+($B$9*(B10)^3)/12)/F32</f>
        <v>2961840000</v>
      </c>
      <c r="I49" s="241" t="s">
        <v>282</v>
      </c>
      <c r="J49" s="243">
        <f>6*$B$28*(2*((($B$7*($B$8)^3)/12)+($B$7*$B$8)*(B10+2*$B$8-0.5*$B$8-($B$8+0.5*B10))^2)+($B$9*(B10)^3)/12)/(F32^2)</f>
        <v>44427600</v>
      </c>
    </row>
    <row r="50" spans="1:56" x14ac:dyDescent="0.25">
      <c r="A50" s="244" t="s">
        <v>283</v>
      </c>
      <c r="B50" s="245">
        <f>(E32-C32)/F32</f>
        <v>1</v>
      </c>
      <c r="C50" s="246" t="s">
        <v>13</v>
      </c>
      <c r="D50" s="247">
        <f>(2*$B$7*$B$8)+($B$9*B10)</f>
        <v>180</v>
      </c>
      <c r="E50" s="246" t="s">
        <v>284</v>
      </c>
      <c r="F50" s="246">
        <f>$B$28*((2*$B$7*$B$8)+($B$9*B10))/F32</f>
        <v>3780000</v>
      </c>
      <c r="G50" s="246" t="s">
        <v>285</v>
      </c>
      <c r="H50" s="246">
        <f>2*$B$28*(2*((($B$7*($B$8)^3)/12)+($B$7*$B$8)*(B10+2*$B$8-0.5*$B$8-($B$8+0.5*B10))^2)+($B$9*(B10)^3)/12)/F32</f>
        <v>1480920000</v>
      </c>
      <c r="I50" s="246" t="s">
        <v>286</v>
      </c>
      <c r="J50" s="248">
        <f>12*$B$28*(2*((($B$7*($B$8)^3)/12)+($B$7*$B$8)*(B10+2*$B$8-0.5*$B$8-($B$8+0.5*B10))^2)+($B$9*(B10)^3)/12)/(F32^3)</f>
        <v>888552</v>
      </c>
    </row>
    <row r="51" spans="1:56" ht="15.75" thickBot="1" x14ac:dyDescent="0.3">
      <c r="A51" s="249">
        <f>G52</f>
        <v>1</v>
      </c>
      <c r="B51" s="245">
        <f>G53</f>
        <v>2</v>
      </c>
      <c r="C51" s="245">
        <f>G54</f>
        <v>3</v>
      </c>
      <c r="D51" s="245">
        <f>G55</f>
        <v>4</v>
      </c>
      <c r="E51" s="245">
        <f>G56</f>
        <v>5</v>
      </c>
      <c r="F51" s="245">
        <f>G57</f>
        <v>6</v>
      </c>
      <c r="G51" s="250"/>
      <c r="H51" s="246"/>
      <c r="I51" s="246"/>
      <c r="J51" s="251">
        <v>1</v>
      </c>
      <c r="AY51">
        <f>AX52</f>
        <v>1</v>
      </c>
      <c r="AZ51">
        <f>AX53</f>
        <v>2</v>
      </c>
      <c r="BA51">
        <f>AX54</f>
        <v>3</v>
      </c>
      <c r="BB51">
        <f>AX55</f>
        <v>4</v>
      </c>
      <c r="BC51">
        <f>AX56</f>
        <v>5</v>
      </c>
      <c r="BD51">
        <f>AX57</f>
        <v>6</v>
      </c>
    </row>
    <row r="52" spans="1:56" ht="15.75" thickBot="1" x14ac:dyDescent="0.3">
      <c r="A52" s="252">
        <f>(F50*B49^2+J50*B50^2)</f>
        <v>888552</v>
      </c>
      <c r="B52" s="245">
        <f>(F50-J50)*B49*B50</f>
        <v>0</v>
      </c>
      <c r="C52" s="245">
        <f>-J49*B50</f>
        <v>-44427600</v>
      </c>
      <c r="D52" s="245">
        <f>-(F50*B49^2+J50*B50^2)</f>
        <v>-888552</v>
      </c>
      <c r="E52" s="245">
        <f>-(F50-J50)*B49*B50</f>
        <v>0</v>
      </c>
      <c r="F52" s="245">
        <f>-J49*B50</f>
        <v>-44427600</v>
      </c>
      <c r="G52" s="245">
        <v>1</v>
      </c>
      <c r="H52" s="246"/>
      <c r="I52" s="250"/>
      <c r="J52" s="253"/>
      <c r="K52" s="193"/>
      <c r="L52" s="254">
        <f>F50</f>
        <v>3780000</v>
      </c>
      <c r="M52" s="254">
        <v>0</v>
      </c>
      <c r="N52" s="254">
        <v>0</v>
      </c>
      <c r="O52" s="254">
        <f>-F50</f>
        <v>-3780000</v>
      </c>
      <c r="P52" s="254">
        <v>0</v>
      </c>
      <c r="Q52" s="255">
        <v>0</v>
      </c>
      <c r="R52" s="193"/>
      <c r="S52" s="256">
        <f>B49</f>
        <v>0</v>
      </c>
      <c r="T52" s="254">
        <f>B50</f>
        <v>1</v>
      </c>
      <c r="U52" s="254">
        <v>0</v>
      </c>
      <c r="V52" s="254">
        <v>0</v>
      </c>
      <c r="W52" s="254">
        <v>0</v>
      </c>
      <c r="X52" s="255">
        <v>0</v>
      </c>
      <c r="Y52" s="193"/>
      <c r="Z52" s="254">
        <f>L52*S52+M52*S53+N52*S54+O52*S55+P52*S56+Q52*S57</f>
        <v>0</v>
      </c>
      <c r="AA52" s="254">
        <f>L52*T52+M52*T53+N52*T54+O52*T55+P52*T56+Q52*T57</f>
        <v>3780000</v>
      </c>
      <c r="AB52" s="254">
        <f>L52*U52+M52*U53+N52*U54+O52*U55+P52*U56+Q52*U57</f>
        <v>0</v>
      </c>
      <c r="AC52" s="254">
        <f>L52*V52+M52*V53+N52*V54+O52*V55+P52*V56+Q52*V57</f>
        <v>0</v>
      </c>
      <c r="AD52" s="254">
        <f>L52*W52+M52*W53+N52*W54+O52*W55+P52*W56+Q52*W57</f>
        <v>-3780000</v>
      </c>
      <c r="AE52" s="255">
        <f>L52*X52+M52*X53+N52*X54+O52*X55+P52*X56+Q52*X57</f>
        <v>0</v>
      </c>
      <c r="AF52" s="193"/>
      <c r="AG52" s="257">
        <v>0</v>
      </c>
      <c r="AH52" s="257"/>
      <c r="AI52" s="257">
        <f>Z52*AG52+AA52*AG53+AB52*AG54+AC52*AG55+AD52*AG56+AE52*AG57</f>
        <v>-1687.500000000711</v>
      </c>
      <c r="AK52" s="296" t="s">
        <v>367</v>
      </c>
      <c r="AL52" s="293">
        <f>ABS((Z52*AG52+AA52*AG53+AB52*AG54+AC52*AG55+AD52*AG56+AE52*AG57)/((2*$B$7*$B$8)+($B$9*B10)))</f>
        <v>9.3750000000039506</v>
      </c>
      <c r="AM52" s="294" t="str">
        <f t="shared" ref="AM52:AM57" si="6">IF(AL52&gt;AN52,"&gt;",IF(AL52&lt;AN52,"&lt;",))</f>
        <v>&lt;</v>
      </c>
      <c r="AN52" s="295">
        <f>$F$28</f>
        <v>1440</v>
      </c>
      <c r="AO52" s="298" t="s">
        <v>379</v>
      </c>
      <c r="AP52" s="295">
        <f>(ABS((Z52*AG52+AA52*AG53+AB52*AG54+AC52*AG55+AD52*AG56+AE52*AG57)/((2*$B$7*$B$8)+($B$9*B10))))/$F$28</f>
        <v>6.5104166666694104E-3</v>
      </c>
      <c r="AQ52" s="294" t="str">
        <f t="shared" ref="AQ52:AQ57" si="7">IF(AP52&gt;AR52,"&gt;",IF(AP52&lt;AR52,"&lt;",))</f>
        <v>&lt;</v>
      </c>
      <c r="AR52" s="295">
        <v>0.15</v>
      </c>
      <c r="AX52">
        <f t="shared" ref="AX52:AX57" si="8">G52</f>
        <v>1</v>
      </c>
      <c r="AY52">
        <f>AX52*1000+AY51</f>
        <v>1001</v>
      </c>
      <c r="AZ52">
        <f>AX52*1000+AZ51</f>
        <v>1002</v>
      </c>
      <c r="BA52">
        <f>AX52*1000+BA51</f>
        <v>1003</v>
      </c>
      <c r="BB52">
        <f>AX52*1000+BB51</f>
        <v>1004</v>
      </c>
      <c r="BC52">
        <f>AX52*1000+BC51</f>
        <v>1005</v>
      </c>
      <c r="BD52">
        <f>AX52*1000+BD51</f>
        <v>1006</v>
      </c>
    </row>
    <row r="53" spans="1:56" ht="15.75" thickBot="1" x14ac:dyDescent="0.3">
      <c r="A53" s="249">
        <f>(F50-J50)*B49*B50</f>
        <v>0</v>
      </c>
      <c r="B53" s="258">
        <f>(F50*B50^2+J50*B49^2)</f>
        <v>3780000</v>
      </c>
      <c r="C53" s="245">
        <f>J49*B49</f>
        <v>0</v>
      </c>
      <c r="D53" s="245">
        <f>-(F50-J50)*B49*B50</f>
        <v>0</v>
      </c>
      <c r="E53" s="245">
        <f>-(F50*B50^2+J50*B49^2)</f>
        <v>-3780000</v>
      </c>
      <c r="F53" s="245">
        <f>J49*B49</f>
        <v>0</v>
      </c>
      <c r="G53" s="245">
        <v>2</v>
      </c>
      <c r="H53" s="246"/>
      <c r="I53" s="246"/>
      <c r="J53" s="253"/>
      <c r="K53" s="193"/>
      <c r="L53" s="254">
        <v>0</v>
      </c>
      <c r="M53" s="254">
        <f>J50</f>
        <v>888552</v>
      </c>
      <c r="N53" s="254">
        <f>J49</f>
        <v>44427600</v>
      </c>
      <c r="O53" s="254">
        <v>0</v>
      </c>
      <c r="P53" s="254">
        <f>-J50</f>
        <v>-888552</v>
      </c>
      <c r="Q53" s="255">
        <f>J49</f>
        <v>44427600</v>
      </c>
      <c r="R53" s="193"/>
      <c r="S53" s="256">
        <f>-B50</f>
        <v>-1</v>
      </c>
      <c r="T53" s="254">
        <f>B49</f>
        <v>0</v>
      </c>
      <c r="U53" s="254">
        <v>0</v>
      </c>
      <c r="V53" s="254">
        <v>0</v>
      </c>
      <c r="W53" s="254">
        <v>0</v>
      </c>
      <c r="X53" s="255">
        <v>0</v>
      </c>
      <c r="Y53" s="193"/>
      <c r="Z53" s="254">
        <f>L53*S52+M53*S53+N53*S54+O53*S55+P53*S56+Q53*S57</f>
        <v>-888552</v>
      </c>
      <c r="AA53" s="254">
        <f>L53*T52+M53*T53+N53*T54+O53*T55+P53*T56+Q53*T57</f>
        <v>0</v>
      </c>
      <c r="AB53" s="254">
        <f>L53*U52+M53*U53+N53*U54+O53*U55+P53*U56+Q53*U57</f>
        <v>44427600</v>
      </c>
      <c r="AC53" s="254">
        <f>L53*V52+M53*V53+N53*V54+O53*V55+P53*V56+Q53*V57</f>
        <v>888552</v>
      </c>
      <c r="AD53" s="254">
        <f>L53*W52+M53*W53+N53*W54+O53*W55+P53*W56+Q53*W57</f>
        <v>0</v>
      </c>
      <c r="AE53" s="255">
        <f>L53*X52+M53*X53+N53*X54+O53*X55+P53*X56+Q53*X57</f>
        <v>44427600</v>
      </c>
      <c r="AF53" s="193"/>
      <c r="AG53" s="257">
        <v>0</v>
      </c>
      <c r="AH53" s="257"/>
      <c r="AI53" s="257">
        <f>Z53*AG52+AA53*AG53+AB53*AG54+AC53*AG55+AD53*AG56+AE53*AG57</f>
        <v>1225.3104306085588</v>
      </c>
      <c r="AK53" s="296" t="s">
        <v>368</v>
      </c>
      <c r="AL53" s="293">
        <f>ABS((Z53*AG52+AA53*AG53+AB53*AG54+AC53*AG55+AD53*AG56+AE53*AG57)/((2*$B$7*$B$8)+($B$9*B10)))</f>
        <v>6.8072801700475489</v>
      </c>
      <c r="AM53" s="294" t="str">
        <f t="shared" si="6"/>
        <v>&lt;</v>
      </c>
      <c r="AN53" s="297">
        <f>$H$28</f>
        <v>960</v>
      </c>
      <c r="AO53" s="298" t="s">
        <v>374</v>
      </c>
      <c r="AP53" s="295">
        <f>((ABS((Z53*AG52+AA53*AG53+AB53*AG54+AC53*AG55+AD53*AG56+AE53*AG57)/((2*$B$7*$B$8)+($B$9*B10))))/$H$28)</f>
        <v>7.0909168437995303E-3</v>
      </c>
      <c r="AQ53" s="294" t="str">
        <f t="shared" si="7"/>
        <v>&lt;</v>
      </c>
      <c r="AR53" s="295">
        <v>1</v>
      </c>
      <c r="AX53">
        <f t="shared" si="8"/>
        <v>2</v>
      </c>
      <c r="AY53">
        <f>AX53*1000+AY51</f>
        <v>2001</v>
      </c>
      <c r="AZ53">
        <f>AX53*1000+AZ51</f>
        <v>2002</v>
      </c>
      <c r="BA53">
        <f>AX53*1000+BA51</f>
        <v>2003</v>
      </c>
      <c r="BB53">
        <f>AX53*1000+BB51</f>
        <v>2004</v>
      </c>
      <c r="BC53">
        <f>AX53*1000+BC51</f>
        <v>2005</v>
      </c>
      <c r="BD53">
        <f>AX53*1000+BD51</f>
        <v>2006</v>
      </c>
    </row>
    <row r="54" spans="1:56" ht="15.75" thickBot="1" x14ac:dyDescent="0.3">
      <c r="A54" s="249">
        <f>-J49*B50</f>
        <v>-44427600</v>
      </c>
      <c r="B54" s="245">
        <f>J49*B49</f>
        <v>0</v>
      </c>
      <c r="C54" s="258">
        <f>H49</f>
        <v>2961840000</v>
      </c>
      <c r="D54" s="245">
        <f>J49*B50</f>
        <v>44427600</v>
      </c>
      <c r="E54" s="245">
        <f>-J49*B49</f>
        <v>0</v>
      </c>
      <c r="F54" s="245">
        <f>H50</f>
        <v>1480920000</v>
      </c>
      <c r="G54" s="245">
        <v>3</v>
      </c>
      <c r="H54" s="246"/>
      <c r="I54" s="246"/>
      <c r="J54" s="253"/>
      <c r="K54" s="193"/>
      <c r="L54" s="254">
        <v>0</v>
      </c>
      <c r="M54" s="254">
        <f>J49</f>
        <v>44427600</v>
      </c>
      <c r="N54" s="254">
        <f>H49</f>
        <v>2961840000</v>
      </c>
      <c r="O54" s="254">
        <v>0</v>
      </c>
      <c r="P54" s="254">
        <f>-J49</f>
        <v>-44427600</v>
      </c>
      <c r="Q54" s="255">
        <f>H50</f>
        <v>1480920000</v>
      </c>
      <c r="R54" s="193"/>
      <c r="S54" s="256">
        <v>0</v>
      </c>
      <c r="T54" s="254">
        <v>0</v>
      </c>
      <c r="U54" s="254">
        <v>1</v>
      </c>
      <c r="V54" s="254">
        <v>0</v>
      </c>
      <c r="W54" s="254">
        <v>0</v>
      </c>
      <c r="X54" s="255">
        <v>0</v>
      </c>
      <c r="Y54" s="193"/>
      <c r="Z54" s="254">
        <f>L54*S52+M54*S53+N54*S54+O54*S55+P54*S56+Q54*S57</f>
        <v>-44427600</v>
      </c>
      <c r="AA54" s="254">
        <f>L54*T52+M54*T53+N54*T54+O54*T55+P54*T56+Q54*T57</f>
        <v>0</v>
      </c>
      <c r="AB54" s="254">
        <f>L54*U52+M54*U53+N54*U54+O54*U55+P54*U56+Q54*U57</f>
        <v>2961840000</v>
      </c>
      <c r="AC54" s="254">
        <f>L54*V52+M54*V53+N54*V54+O54*V55+P54*V56+Q54*V57</f>
        <v>44427600</v>
      </c>
      <c r="AD54" s="254">
        <f>L54*W52+M54*W53+N54*W54+O54*W55+P54*W56+Q54*W57</f>
        <v>0</v>
      </c>
      <c r="AE54" s="255">
        <f>L54*X52+M54*X53+N54*X54+O54*X55+P54*X56+Q54*X57</f>
        <v>1480920000</v>
      </c>
      <c r="AF54" s="193"/>
      <c r="AG54" s="257">
        <f>G7</f>
        <v>-1.5620549384289322E-3</v>
      </c>
      <c r="AH54" s="257"/>
      <c r="AI54" s="257">
        <f>Z54*AG52+AA54*AG53+AB54*AG54+AC54*AG55+AD54*AG56+AE54*AG57</f>
        <v>0</v>
      </c>
      <c r="AK54" s="296" t="s">
        <v>369</v>
      </c>
      <c r="AL54" s="293">
        <f>ABS((Z54*AG52+AA54*AG53+AB54*AG54+AC54*AG55+AD54*AG56+AE54*AG57)*($B$8+0.5*B10)/(2*((($B$7*($B$8)^3)/12)+($B$7*$B$8)*(B10+2*$B$8-0.5*$B$8-($B$8+0.5*B10))^2)+($B$9*(B10)^3)/12))</f>
        <v>4.4902109383049165E-13</v>
      </c>
      <c r="AM54" s="294" t="str">
        <f t="shared" si="6"/>
        <v>&lt;</v>
      </c>
      <c r="AN54" s="297">
        <f>$J$28</f>
        <v>1440</v>
      </c>
      <c r="AO54" s="301" t="s">
        <v>373</v>
      </c>
      <c r="AP54" s="303">
        <f>((ABS((Z52*AG52+AA52*AG53+AB52*AG54+AC52*AG55+AD52*AG56+AE52*AG57)/((2*$B$7*$B$8)+($B$9*B10))))/$F$28)+((ABS((Z54*AG52+AA54*AG53+AB54*AG54+AC54*AG55+AD54*AG56+AE54*AG57)*($B$8+0.5*B10)/(2*((($B$7*($B$8)^3)/12)+($B$7*$B$8)*(B10+2*$B$8-0.5*$B$8-($B$8+0.5*B10))^2)+($B$9*(B10)^3)/12)))/$J$28)</f>
        <v>6.5104166666697227E-3</v>
      </c>
      <c r="AQ54" s="294" t="str">
        <f t="shared" si="7"/>
        <v>&lt;</v>
      </c>
      <c r="AR54" s="295">
        <v>1</v>
      </c>
      <c r="AX54">
        <f t="shared" si="8"/>
        <v>3</v>
      </c>
      <c r="AY54">
        <f>AX54*1000+AY51</f>
        <v>3001</v>
      </c>
      <c r="AZ54">
        <f>AX54*1000+AZ51</f>
        <v>3002</v>
      </c>
      <c r="BA54">
        <f>AX54*1000+BA51</f>
        <v>3003</v>
      </c>
      <c r="BB54">
        <f>AX54*1000+BB51</f>
        <v>3004</v>
      </c>
      <c r="BC54">
        <f>AX54*1000+BC51</f>
        <v>3005</v>
      </c>
      <c r="BD54">
        <f>AX54*1000+BD51</f>
        <v>3006</v>
      </c>
    </row>
    <row r="55" spans="1:56" ht="16.5" thickBot="1" x14ac:dyDescent="0.3">
      <c r="A55" s="249">
        <f>-(F50*B49^2+J50*B50^2)</f>
        <v>-888552</v>
      </c>
      <c r="B55" s="245">
        <f>-(F50-J50)*B49*B50</f>
        <v>0</v>
      </c>
      <c r="C55" s="245">
        <f>J49*B50</f>
        <v>44427600</v>
      </c>
      <c r="D55" s="258">
        <f>(F50*B49^2+J50*B50^2)</f>
        <v>888552</v>
      </c>
      <c r="E55" s="245">
        <f>(F50-J50)*B49*B50</f>
        <v>0</v>
      </c>
      <c r="F55" s="245">
        <f>J49*B50</f>
        <v>44427600</v>
      </c>
      <c r="G55" s="245">
        <v>4</v>
      </c>
      <c r="H55" s="246"/>
      <c r="I55" s="246"/>
      <c r="J55" s="253"/>
      <c r="K55" s="193"/>
      <c r="L55" s="254">
        <f>-F50</f>
        <v>-3780000</v>
      </c>
      <c r="M55" s="254">
        <v>0</v>
      </c>
      <c r="N55" s="254">
        <v>0</v>
      </c>
      <c r="O55" s="254">
        <f>F50</f>
        <v>3780000</v>
      </c>
      <c r="P55" s="254">
        <v>0</v>
      </c>
      <c r="Q55" s="255">
        <v>0</v>
      </c>
      <c r="R55" s="259" t="s">
        <v>287</v>
      </c>
      <c r="S55" s="256">
        <v>0</v>
      </c>
      <c r="T55" s="254">
        <v>0</v>
      </c>
      <c r="U55" s="254">
        <v>0</v>
      </c>
      <c r="V55" s="254">
        <f>B49</f>
        <v>0</v>
      </c>
      <c r="W55" s="254">
        <f>B50</f>
        <v>1</v>
      </c>
      <c r="X55" s="255">
        <v>0</v>
      </c>
      <c r="Y55" s="260" t="s">
        <v>127</v>
      </c>
      <c r="Z55" s="254">
        <f>L55*S52+M55*S53+N55*S54+O55*S55+P55*S56+Q55*S57</f>
        <v>0</v>
      </c>
      <c r="AA55" s="254">
        <f>L55*T52+M55*T53+N55*T54+O55*T55+P55*T56+Q55*T57</f>
        <v>-3780000</v>
      </c>
      <c r="AB55" s="254">
        <f>L55*U52+M55*U53+N55*U54+O55*U55+P55*U56+Q55*U57</f>
        <v>0</v>
      </c>
      <c r="AC55" s="254">
        <f>L55*V52+M55*V53+N55*V54+O55*V55+P55*V56+Q55*V57</f>
        <v>0</v>
      </c>
      <c r="AD55" s="254">
        <f>L55*W52+M55*W53+N55*W54+O55*W55+P55*W56+Q55*W57</f>
        <v>3780000</v>
      </c>
      <c r="AE55" s="255">
        <f>L55*X52+M55*X53+N55*X54+O55*X55+P55*X56+Q55*X57</f>
        <v>0</v>
      </c>
      <c r="AF55" s="259" t="s">
        <v>287</v>
      </c>
      <c r="AG55" s="257">
        <f>G8</f>
        <v>0.15344750009439326</v>
      </c>
      <c r="AH55" s="259" t="s">
        <v>127</v>
      </c>
      <c r="AI55" s="257">
        <f>Z55*AG52+AA55*AG53+AB55*AG54+AC55*AG55+AD55*AG56+AE55*AG57</f>
        <v>1687.500000000711</v>
      </c>
      <c r="AK55" s="296" t="s">
        <v>370</v>
      </c>
      <c r="AL55" s="293">
        <f>ABS((Z55*AG52+AA55*AG53+AB55*AG54+AC55*AG55+AD55*AG56+AE55*AG57)/((2*$B$7*$B$8)+($B$9*B10)))</f>
        <v>9.3750000000039506</v>
      </c>
      <c r="AM55" s="294" t="str">
        <f t="shared" si="6"/>
        <v>&lt;</v>
      </c>
      <c r="AN55" s="295">
        <f>$F$28</f>
        <v>1440</v>
      </c>
      <c r="AO55" s="298" t="s">
        <v>375</v>
      </c>
      <c r="AP55" s="295">
        <f>(B10)/$B$9</f>
        <v>15</v>
      </c>
      <c r="AQ55" s="294" t="str">
        <f t="shared" si="7"/>
        <v>&lt;</v>
      </c>
      <c r="AR55" s="295">
        <f>6370/($J$28)^0.5</f>
        <v>167.86423912727147</v>
      </c>
      <c r="AX55">
        <f t="shared" si="8"/>
        <v>4</v>
      </c>
      <c r="AY55">
        <f>AX55*1000+AY51</f>
        <v>4001</v>
      </c>
      <c r="AZ55">
        <f>AX55*1000+AZ51</f>
        <v>4002</v>
      </c>
      <c r="BA55">
        <f>AX55*1000+BA51</f>
        <v>4003</v>
      </c>
      <c r="BB55">
        <f>AX55*1000+BB51</f>
        <v>4004</v>
      </c>
      <c r="BC55">
        <f>AX55*1000+BC51</f>
        <v>4005</v>
      </c>
      <c r="BD55">
        <f>AX55*1000+BD51</f>
        <v>4006</v>
      </c>
    </row>
    <row r="56" spans="1:56" ht="15.75" thickBot="1" x14ac:dyDescent="0.3">
      <c r="A56" s="249">
        <f>-(F50-J50)*B49*B50</f>
        <v>0</v>
      </c>
      <c r="B56" s="245">
        <f>-(F50*B50^2+J50*B49^2)</f>
        <v>-3780000</v>
      </c>
      <c r="C56" s="245">
        <f>-J49*B49</f>
        <v>0</v>
      </c>
      <c r="D56" s="245">
        <f>(F50-J50)*B49*B50</f>
        <v>0</v>
      </c>
      <c r="E56" s="258">
        <f>(F50*B50^2+J50*B49^2)</f>
        <v>3780000</v>
      </c>
      <c r="F56" s="245">
        <f>-J49*B49</f>
        <v>0</v>
      </c>
      <c r="G56" s="245">
        <v>5</v>
      </c>
      <c r="H56" s="246"/>
      <c r="I56" s="246"/>
      <c r="J56" s="253"/>
      <c r="K56" s="193"/>
      <c r="L56" s="254">
        <v>0</v>
      </c>
      <c r="M56" s="254">
        <f>-J50</f>
        <v>-888552</v>
      </c>
      <c r="N56" s="254">
        <f>-J49</f>
        <v>-44427600</v>
      </c>
      <c r="O56" s="254">
        <v>0</v>
      </c>
      <c r="P56" s="254">
        <f>J50</f>
        <v>888552</v>
      </c>
      <c r="Q56" s="255">
        <f>-J49</f>
        <v>-44427600</v>
      </c>
      <c r="R56" s="193"/>
      <c r="S56" s="256">
        <v>0</v>
      </c>
      <c r="T56" s="254">
        <v>0</v>
      </c>
      <c r="U56" s="254">
        <v>0</v>
      </c>
      <c r="V56" s="254">
        <f>-B50</f>
        <v>-1</v>
      </c>
      <c r="W56" s="254">
        <f>B49</f>
        <v>0</v>
      </c>
      <c r="X56" s="255">
        <v>0</v>
      </c>
      <c r="Y56" s="193"/>
      <c r="Z56" s="254">
        <f>L56*S52+M56*S53+N56*S54+O56*S55+P56*S56+Q56*S57</f>
        <v>888552</v>
      </c>
      <c r="AA56" s="254">
        <f>L56*T52+M56*T53+N56*T54+O56*T55+P56*T56+Q56*T57</f>
        <v>0</v>
      </c>
      <c r="AB56" s="254">
        <f>L56*U52+M56*U53+N56*U54+O56*U55+P56*U56+Q56*U57</f>
        <v>-44427600</v>
      </c>
      <c r="AC56" s="254">
        <f>L56*V52+M56*V53+N56*V54+O56*V55+P56*V56+Q56*V57</f>
        <v>-888552</v>
      </c>
      <c r="AD56" s="254">
        <f>L56*W52+M56*W53+N56*W54+O56*W55+P56*W56+Q56*W57</f>
        <v>0</v>
      </c>
      <c r="AE56" s="255">
        <f>L56*X52+M56*X53+N56*X54+O56*X55+P56*X56+Q56*X57</f>
        <v>-44427600</v>
      </c>
      <c r="AF56" s="193"/>
      <c r="AG56" s="257">
        <f>G9</f>
        <v>4.4642857142875952E-4</v>
      </c>
      <c r="AH56" s="257"/>
      <c r="AI56" s="257">
        <f>Z56*AG52+AA56*AG53+AB56*AG54+AC56*AG55+AD56*AG56+AE56*AG57</f>
        <v>-1225.3104306085588</v>
      </c>
      <c r="AK56" s="296" t="s">
        <v>371</v>
      </c>
      <c r="AL56" s="293">
        <f>ABS((Z56*AG52+AA56*AG53+AB56*AG54+AC56*AG55+AD56*AG56+AE56*AG57)/((2*$B$7*$B$8)+($B$9*B10)))</f>
        <v>6.8072801700475489</v>
      </c>
      <c r="AM56" s="294" t="str">
        <f t="shared" si="6"/>
        <v>&lt;</v>
      </c>
      <c r="AN56" s="295">
        <f>$H$28</f>
        <v>960</v>
      </c>
      <c r="AO56" s="302" t="s">
        <v>374</v>
      </c>
      <c r="AP56" s="304">
        <f>((ABS((Z56*AG52+AA56*AG53+AB56*AG54+AC56*AG55+AD56*AG56+AE56*AG57)/((2*$B$7*$B$8)+($B$9*B10))))/$H$28)</f>
        <v>7.0909168437995303E-3</v>
      </c>
      <c r="AQ56" s="294" t="str">
        <f t="shared" si="7"/>
        <v>&lt;</v>
      </c>
      <c r="AR56" s="295">
        <v>1</v>
      </c>
      <c r="AX56">
        <f t="shared" si="8"/>
        <v>5</v>
      </c>
      <c r="AY56">
        <f>AX56*1000+AY51</f>
        <v>5001</v>
      </c>
      <c r="AZ56">
        <f>AX56*1000+AZ51</f>
        <v>5002</v>
      </c>
      <c r="BA56">
        <f>AX56*1000+BA51</f>
        <v>5003</v>
      </c>
      <c r="BB56">
        <f>AX56*1000+BB51</f>
        <v>5004</v>
      </c>
      <c r="BC56">
        <f>AX56*1000+BC51</f>
        <v>5005</v>
      </c>
      <c r="BD56">
        <f>AX56*1000+BD51</f>
        <v>5006</v>
      </c>
    </row>
    <row r="57" spans="1:56" ht="15.75" thickBot="1" x14ac:dyDescent="0.3">
      <c r="A57" s="261">
        <f>-J49*B50</f>
        <v>-44427600</v>
      </c>
      <c r="B57" s="262">
        <f>J49*B49</f>
        <v>0</v>
      </c>
      <c r="C57" s="262">
        <f>H50</f>
        <v>1480920000</v>
      </c>
      <c r="D57" s="262">
        <f>J49*B50</f>
        <v>44427600</v>
      </c>
      <c r="E57" s="262">
        <f>-J49*B49</f>
        <v>0</v>
      </c>
      <c r="F57" s="263">
        <f>H49</f>
        <v>2961840000</v>
      </c>
      <c r="G57" s="262">
        <v>6</v>
      </c>
      <c r="H57" s="264"/>
      <c r="I57" s="264"/>
      <c r="J57" s="265"/>
      <c r="K57" s="193"/>
      <c r="L57" s="254">
        <v>0</v>
      </c>
      <c r="M57" s="254">
        <f>J49</f>
        <v>44427600</v>
      </c>
      <c r="N57" s="254">
        <f>H50</f>
        <v>1480920000</v>
      </c>
      <c r="O57" s="254">
        <v>0</v>
      </c>
      <c r="P57" s="254">
        <f>-J49</f>
        <v>-44427600</v>
      </c>
      <c r="Q57" s="255">
        <f>H49</f>
        <v>2961840000</v>
      </c>
      <c r="R57" s="193"/>
      <c r="S57" s="256">
        <v>0</v>
      </c>
      <c r="T57" s="254">
        <v>0</v>
      </c>
      <c r="U57" s="254">
        <v>0</v>
      </c>
      <c r="V57" s="254">
        <v>0</v>
      </c>
      <c r="W57" s="254">
        <v>0</v>
      </c>
      <c r="X57" s="255">
        <v>1</v>
      </c>
      <c r="Y57" s="193"/>
      <c r="Z57" s="254">
        <f>L57*S52+M57*S53+N57*S54+O57*S55+P57*S56+Q57*S57</f>
        <v>-44427600</v>
      </c>
      <c r="AA57" s="254">
        <f>L57*T52+M57*T53+N57*T54+O57*T55+P57*T56+Q57*T57</f>
        <v>0</v>
      </c>
      <c r="AB57" s="254">
        <f>L57*U52+M57*U53+N57*U54+O57*U55+P57*U56+Q57*U57</f>
        <v>1480920000</v>
      </c>
      <c r="AC57" s="254">
        <f>L57*V52+M57*V53+N57*V54+O57*V55+P57*V56+Q57*V57</f>
        <v>44427600</v>
      </c>
      <c r="AD57" s="254">
        <f>L57*W52+M57*W53+N57*W54+O57*W55+P57*W56+Q57*W57</f>
        <v>0</v>
      </c>
      <c r="AE57" s="255">
        <f>L57*X52+M57*X53+N57*X54+O57*X55+P57*X56+Q57*X57</f>
        <v>2961840000</v>
      </c>
      <c r="AF57" s="193"/>
      <c r="AG57" s="257">
        <f>G10</f>
        <v>-1.4793151259739339E-3</v>
      </c>
      <c r="AH57" s="257"/>
      <c r="AI57" s="257">
        <f>Z57*AG52+AA57*AG53+AB57*AG54+AC57*AG55+AD57*AG56+AE57*AG57</f>
        <v>122531.04306085501</v>
      </c>
      <c r="AK57" s="296" t="s">
        <v>372</v>
      </c>
      <c r="AL57" s="293">
        <f>ABS((Z57*AG52+AA57*AG53+AB57*AG54+AC57*AG55+AD57*AG56+AE57*AG57)*($B$8+0.5*B10)/(2*((($B$7*($B$8)^3)/12)+($B$7*$B$8)*(B10+2*$B$8-0.5*$B$8-($B$8+0.5*B10))^2)+($B$9*(B10)^3)/12))</f>
        <v>59.076226092868268</v>
      </c>
      <c r="AM57" s="294" t="str">
        <f t="shared" si="6"/>
        <v>&lt;</v>
      </c>
      <c r="AN57" s="295">
        <f>$J$28</f>
        <v>1440</v>
      </c>
      <c r="AO57" s="298" t="s">
        <v>373</v>
      </c>
      <c r="AP57" s="305">
        <f>((ABS((Z55*AG52+AA55*AG53+AB55*AG54+AC55*AG55+AD55*AG56+AE55*AG57)/((2*$B$7*$B$8)+($B$9*B10))))/$F$28)+((ABS((Z57*AG52+AA57*AG53+AB57*AG54+AC57*AG55+AD57*AG56+AE57*AG57)*($B$8+0.5*B10)/(2*((($B$7*($B$8)^3)/12)+($B$7*$B$8)*(B10+2*$B$8-0.5*$B$8-($B$8+0.5*B10))^2)+($B$9*(B10)^3)/12)))/$J$28)</f>
        <v>4.7535573675605708E-2</v>
      </c>
      <c r="AQ57" s="294" t="str">
        <f t="shared" si="7"/>
        <v>&lt;</v>
      </c>
      <c r="AR57" s="295">
        <v>1</v>
      </c>
      <c r="AX57">
        <f t="shared" si="8"/>
        <v>6</v>
      </c>
      <c r="AY57">
        <f>AX57*1000+AY51</f>
        <v>6001</v>
      </c>
      <c r="AZ57">
        <f>AX57*1000+AZ51</f>
        <v>6002</v>
      </c>
      <c r="BA57">
        <f>AX57*1000+BA51</f>
        <v>6003</v>
      </c>
      <c r="BB57">
        <f>AX57*1000+BB51</f>
        <v>6004</v>
      </c>
      <c r="BC57">
        <f>AX57*1000+BC51</f>
        <v>6005</v>
      </c>
      <c r="BD57">
        <f>AX57*1000+BD51</f>
        <v>6006</v>
      </c>
    </row>
    <row r="58" spans="1:56" x14ac:dyDescent="0.25">
      <c r="A58" s="239" t="s">
        <v>279</v>
      </c>
      <c r="B58" s="240">
        <f>(D33-B33)/F33</f>
        <v>0</v>
      </c>
      <c r="C58" s="241" t="s">
        <v>280</v>
      </c>
      <c r="D58" s="240">
        <f>$B$8+0.5*B11</f>
        <v>22</v>
      </c>
      <c r="E58" s="241" t="s">
        <v>30</v>
      </c>
      <c r="F58" s="242">
        <f>2*((($B$7*($B$8)^3)/12)+($B$7*$B$8)*(B11+2*$B$8-0.5*$B$8-($B$8+0.5*B11))^2)+($B$9*(B11)^3)/12</f>
        <v>63626.666666666664</v>
      </c>
      <c r="G58" s="241" t="s">
        <v>281</v>
      </c>
      <c r="H58" s="241">
        <f>4*$B$28*(2*((($B$7*($B$8)^3)/12)+($B$7*$B$8)*(B11+2*$B$8-0.5*$B$8-($B$8+0.5*B11))^2)+($B$9*(B11)^3)/12)/F33</f>
        <v>5344640000</v>
      </c>
      <c r="I58" s="241" t="s">
        <v>282</v>
      </c>
      <c r="J58" s="243">
        <f>6*$B$28*(2*((($B$7*($B$8)^3)/12)+($B$7*$B$8)*(B11+2*$B$8-0.5*$B$8-($B$8+0.5*B11))^2)+($B$9*(B11)^3)/12)/(F33^2)</f>
        <v>80169600</v>
      </c>
      <c r="AG58" s="266"/>
      <c r="AH58" s="254"/>
      <c r="AI58" s="254"/>
    </row>
    <row r="59" spans="1:56" x14ac:dyDescent="0.25">
      <c r="A59" s="244" t="s">
        <v>283</v>
      </c>
      <c r="B59" s="245">
        <f>(E33-C33)/F33</f>
        <v>1</v>
      </c>
      <c r="C59" s="246" t="s">
        <v>13</v>
      </c>
      <c r="D59" s="247">
        <f>(2*$B$7*$B$8)+($B$9*B11)</f>
        <v>200</v>
      </c>
      <c r="E59" s="246" t="s">
        <v>284</v>
      </c>
      <c r="F59" s="246">
        <f>$B$28*((2*$B$7*$B$8)+($B$9*B11))/F33</f>
        <v>4200000</v>
      </c>
      <c r="G59" s="246" t="s">
        <v>285</v>
      </c>
      <c r="H59" s="246">
        <f>2*$B$28*(2*((($B$7*($B$8)^3)/12)+($B$7*$B$8)*(B11+2*$B$8-0.5*$B$8-($B$8+0.5*B11))^2)+($B$9*(B11)^3)/12)/F33</f>
        <v>2672320000</v>
      </c>
      <c r="I59" s="246" t="s">
        <v>286</v>
      </c>
      <c r="J59" s="248">
        <f>12*$B$28*(2*((($B$7*($B$8)^3)/12)+($B$7*$B$8)*(B11+2*$B$8-0.5*$B$8-($B$8+0.5*B11))^2)+($B$9*(B11)^3)/12)/(F33^3)</f>
        <v>1603392</v>
      </c>
      <c r="AG59" s="266"/>
      <c r="AH59" s="254"/>
      <c r="AI59" s="254"/>
    </row>
    <row r="60" spans="1:56" ht="15.75" thickBot="1" x14ac:dyDescent="0.3">
      <c r="A60" s="249">
        <f>G61</f>
        <v>4</v>
      </c>
      <c r="B60" s="245">
        <f>G62</f>
        <v>5</v>
      </c>
      <c r="C60" s="245">
        <f>G63</f>
        <v>6</v>
      </c>
      <c r="D60" s="245">
        <f>G64</f>
        <v>7</v>
      </c>
      <c r="E60" s="245">
        <f>G65</f>
        <v>8</v>
      </c>
      <c r="F60" s="245">
        <f>G66</f>
        <v>9</v>
      </c>
      <c r="G60" s="250"/>
      <c r="H60" s="246"/>
      <c r="I60" s="246"/>
      <c r="J60" s="251">
        <v>2</v>
      </c>
      <c r="AG60" s="254"/>
      <c r="AH60" s="254"/>
      <c r="AI60" s="254"/>
      <c r="AY60">
        <f>AX61</f>
        <v>4</v>
      </c>
      <c r="AZ60">
        <f>AX62</f>
        <v>5</v>
      </c>
      <c r="BA60">
        <f>AX63</f>
        <v>6</v>
      </c>
      <c r="BB60">
        <f>AX64</f>
        <v>7</v>
      </c>
      <c r="BC60">
        <f>AX65</f>
        <v>8</v>
      </c>
      <c r="BD60">
        <f>AX66</f>
        <v>9</v>
      </c>
    </row>
    <row r="61" spans="1:56" ht="15.75" thickBot="1" x14ac:dyDescent="0.3">
      <c r="A61" s="252">
        <f>(F59*B58^2+J59*B59^2)</f>
        <v>1603392</v>
      </c>
      <c r="B61" s="245">
        <f>(F59-J59)*B58*B59</f>
        <v>0</v>
      </c>
      <c r="C61" s="245">
        <f>-J58*B59</f>
        <v>-80169600</v>
      </c>
      <c r="D61" s="245">
        <f>-(F59*B58^2+J59*B59^2)</f>
        <v>-1603392</v>
      </c>
      <c r="E61" s="245">
        <f>-(F59-J59)*B58*B59</f>
        <v>0</v>
      </c>
      <c r="F61" s="245">
        <f>-J58*B59</f>
        <v>-80169600</v>
      </c>
      <c r="G61" s="245">
        <f>G55</f>
        <v>4</v>
      </c>
      <c r="H61" s="246"/>
      <c r="I61" s="250"/>
      <c r="J61" s="253"/>
      <c r="K61" s="193"/>
      <c r="L61" s="254">
        <f>F59</f>
        <v>4200000</v>
      </c>
      <c r="M61" s="254">
        <v>0</v>
      </c>
      <c r="N61" s="254">
        <v>0</v>
      </c>
      <c r="O61" s="254">
        <f>-F59</f>
        <v>-4200000</v>
      </c>
      <c r="P61" s="254">
        <v>0</v>
      </c>
      <c r="Q61" s="255">
        <v>0</v>
      </c>
      <c r="R61" s="193"/>
      <c r="S61" s="256">
        <f>B58</f>
        <v>0</v>
      </c>
      <c r="T61" s="254">
        <f>B59</f>
        <v>1</v>
      </c>
      <c r="U61" s="254">
        <v>0</v>
      </c>
      <c r="V61" s="254">
        <v>0</v>
      </c>
      <c r="W61" s="254">
        <v>0</v>
      </c>
      <c r="X61" s="255">
        <v>0</v>
      </c>
      <c r="Y61" s="193"/>
      <c r="Z61" s="254">
        <f>L61*S61+M61*S62+N61*S63+O61*S64+P61*S65+Q61*S66</f>
        <v>0</v>
      </c>
      <c r="AA61" s="254">
        <f>L61*T61+M61*T62+N61*T63+O61*T64+P61*T65+Q61*T66</f>
        <v>4200000</v>
      </c>
      <c r="AB61" s="254">
        <f>L61*U61+M61*U62+N61*U63+O61*U64+P61*U65+Q61*U66</f>
        <v>0</v>
      </c>
      <c r="AC61" s="254">
        <f>L61*V61+M61*V62+N61*V63+O61*V64+P61*V65+Q61*V66</f>
        <v>0</v>
      </c>
      <c r="AD61" s="254">
        <f>L61*W61+M61*W62+N61*W63+O61*W64+P61*W65+Q61*W66</f>
        <v>-4200000</v>
      </c>
      <c r="AE61" s="255">
        <f>L61*X61+M61*X62+N61*X63+O61*X64+P61*X65+Q61*X66</f>
        <v>0</v>
      </c>
      <c r="AF61" s="193"/>
      <c r="AG61" s="257">
        <f t="shared" ref="AG61:AG66" si="9">G8</f>
        <v>0.15344750009439326</v>
      </c>
      <c r="AH61" s="257"/>
      <c r="AI61" s="257">
        <f>Z61*AG61+AA61*AG62+AB61*AG63+AC61*AG64+AD61*AG65+AE61*AG66</f>
        <v>-1687.5000000007108</v>
      </c>
      <c r="AK61" s="296" t="s">
        <v>367</v>
      </c>
      <c r="AL61" s="293">
        <f>ABS((Z61*AG61+AA61*AG62+AB61*AG63+AC61*AG64+AD61*AG65+AE61*AG66)/((2*$B$7*$B$8)+($B$9*B11)))</f>
        <v>8.4375000000035545</v>
      </c>
      <c r="AM61" s="294" t="str">
        <f t="shared" ref="AM61:AM66" si="10">IF(AL61&gt;AN61,"&gt;",IF(AL61&lt;AN61,"&lt;",))</f>
        <v>&lt;</v>
      </c>
      <c r="AN61" s="295">
        <f>$F$28</f>
        <v>1440</v>
      </c>
      <c r="AO61" s="298" t="s">
        <v>379</v>
      </c>
      <c r="AP61" s="295">
        <f>(ABS((Z61*AG61+AA61*AG62+AB61*AG63+AC61*AG64+AD61*AG65+AE61*AG66)/((2*$B$7*$B$8)+($B$9*B11))))/$F$28</f>
        <v>5.8593750000024685E-3</v>
      </c>
      <c r="AQ61" s="294" t="str">
        <f t="shared" ref="AQ61:AQ66" si="11">IF(AP61&gt;AR61,"&gt;",IF(AP61&lt;AR61,"&lt;",))</f>
        <v>&lt;</v>
      </c>
      <c r="AR61" s="295">
        <v>0.15</v>
      </c>
      <c r="AX61">
        <f t="shared" ref="AX61:AX66" si="12">G61</f>
        <v>4</v>
      </c>
      <c r="AY61">
        <f>AX61*1000+AY60</f>
        <v>4004</v>
      </c>
      <c r="AZ61">
        <f>AX61*1000+AZ60</f>
        <v>4005</v>
      </c>
      <c r="BA61">
        <f>AX61*1000+BA60</f>
        <v>4006</v>
      </c>
      <c r="BB61">
        <f>AX61*1000+BB60</f>
        <v>4007</v>
      </c>
      <c r="BC61">
        <f>AX61*1000+BC60</f>
        <v>4008</v>
      </c>
      <c r="BD61">
        <f>AX61*1000+BD60</f>
        <v>4009</v>
      </c>
    </row>
    <row r="62" spans="1:56" ht="15.75" thickBot="1" x14ac:dyDescent="0.3">
      <c r="A62" s="249">
        <f>(F59-J59)*B58*B59</f>
        <v>0</v>
      </c>
      <c r="B62" s="258">
        <f>(F59*B59^2+J59*B58^2)</f>
        <v>4200000</v>
      </c>
      <c r="C62" s="245">
        <f>J58*B58</f>
        <v>0</v>
      </c>
      <c r="D62" s="245">
        <f>-(F59-J59)*B58*B59</f>
        <v>0</v>
      </c>
      <c r="E62" s="245">
        <f>-(F59*B59^2+J59*B58^2)</f>
        <v>-4200000</v>
      </c>
      <c r="F62" s="245">
        <f>J58*B58</f>
        <v>0</v>
      </c>
      <c r="G62" s="245">
        <f>G56</f>
        <v>5</v>
      </c>
      <c r="H62" s="246"/>
      <c r="I62" s="246"/>
      <c r="J62" s="253"/>
      <c r="K62" s="193"/>
      <c r="L62" s="254">
        <v>0</v>
      </c>
      <c r="M62" s="254">
        <f>J59</f>
        <v>1603392</v>
      </c>
      <c r="N62" s="254">
        <f>J58</f>
        <v>80169600</v>
      </c>
      <c r="O62" s="254">
        <v>0</v>
      </c>
      <c r="P62" s="254">
        <f>-J59</f>
        <v>-1603392</v>
      </c>
      <c r="Q62" s="255">
        <f>J58</f>
        <v>80169600</v>
      </c>
      <c r="R62" s="193"/>
      <c r="S62" s="256">
        <f>-B59</f>
        <v>-1</v>
      </c>
      <c r="T62" s="254">
        <f>B58</f>
        <v>0</v>
      </c>
      <c r="U62" s="254">
        <v>0</v>
      </c>
      <c r="V62" s="254">
        <v>0</v>
      </c>
      <c r="W62" s="254">
        <v>0</v>
      </c>
      <c r="X62" s="255">
        <v>0</v>
      </c>
      <c r="Y62" s="193"/>
      <c r="Z62" s="254">
        <f>L62*S61+M62*S62+N62*S63+O62*S64+P62*S65+Q62*S66</f>
        <v>-1603392</v>
      </c>
      <c r="AA62" s="254">
        <f>L62*T61+M62*T62+N62*T63+O62*T64+P62*T65+Q62*T66</f>
        <v>0</v>
      </c>
      <c r="AB62" s="254">
        <f>L62*U61+M62*U62+N62*U63+O62*U64+P62*U65+Q62*U66</f>
        <v>80169600</v>
      </c>
      <c r="AC62" s="254">
        <f>L62*V61+M62*V62+N62*V63+O62*V64+P62*V65+Q62*V66</f>
        <v>1603392</v>
      </c>
      <c r="AD62" s="254">
        <f>L62*W61+M62*W62+N62*W63+O62*W64+P62*W65+Q62*W66</f>
        <v>0</v>
      </c>
      <c r="AE62" s="255">
        <f>L62*X61+M62*X62+N62*X63+O62*X64+P62*X65+Q62*X66</f>
        <v>80169600</v>
      </c>
      <c r="AF62" s="193"/>
      <c r="AG62" s="257">
        <f t="shared" si="9"/>
        <v>4.4642857142875952E-4</v>
      </c>
      <c r="AH62" s="257"/>
      <c r="AI62" s="257">
        <f>Z62*AG61+AA62*AG62+AB62*AG63+AC62*AG64+AD62*AG65+AE62*AG66</f>
        <v>1225.3104306086025</v>
      </c>
      <c r="AK62" s="296" t="s">
        <v>368</v>
      </c>
      <c r="AL62" s="293">
        <f>ABS((Z62*AG61+AA62*AG62+AB62*AG63+AC62*AG64+AD62*AG65+AE62*AG66)/((2*$B$7*$B$8)+($B$9*B11)))</f>
        <v>6.1265521530430123</v>
      </c>
      <c r="AM62" s="294" t="str">
        <f t="shared" si="10"/>
        <v>&lt;</v>
      </c>
      <c r="AN62" s="295">
        <f>$H$28</f>
        <v>960</v>
      </c>
      <c r="AO62" s="298" t="s">
        <v>374</v>
      </c>
      <c r="AP62" s="295">
        <f>((ABS((Z62*AG61+AA62*AG62+AB62*AG63+AC62*AG64+AD62*AG65+AE62*AG66)/((2*$B$7*$B$8)+($B$9*B11))))/$H$28)</f>
        <v>6.3818251594198044E-3</v>
      </c>
      <c r="AQ62" s="294" t="str">
        <f t="shared" si="11"/>
        <v>&lt;</v>
      </c>
      <c r="AR62" s="295">
        <v>1</v>
      </c>
      <c r="AX62">
        <f t="shared" si="12"/>
        <v>5</v>
      </c>
      <c r="AY62">
        <f>AX62*1000+AY60</f>
        <v>5004</v>
      </c>
      <c r="AZ62">
        <f>AX62*1000+AZ60</f>
        <v>5005</v>
      </c>
      <c r="BA62">
        <f>AX62*1000+BA60</f>
        <v>5006</v>
      </c>
      <c r="BB62">
        <f>AX62*1000+BB60</f>
        <v>5007</v>
      </c>
      <c r="BC62">
        <f>AX62*1000+BC60</f>
        <v>5008</v>
      </c>
      <c r="BD62">
        <f>AX62*1000+BD60</f>
        <v>5009</v>
      </c>
    </row>
    <row r="63" spans="1:56" ht="15.75" thickBot="1" x14ac:dyDescent="0.3">
      <c r="A63" s="249">
        <f>-J58*B59</f>
        <v>-80169600</v>
      </c>
      <c r="B63" s="245">
        <f>J58*B58</f>
        <v>0</v>
      </c>
      <c r="C63" s="258">
        <f>H58</f>
        <v>5344640000</v>
      </c>
      <c r="D63" s="245">
        <f>J58*B59</f>
        <v>80169600</v>
      </c>
      <c r="E63" s="245">
        <f>-J58*B58</f>
        <v>0</v>
      </c>
      <c r="F63" s="245">
        <f>H59</f>
        <v>2672320000</v>
      </c>
      <c r="G63" s="245">
        <f>G57</f>
        <v>6</v>
      </c>
      <c r="H63" s="246"/>
      <c r="I63" s="246"/>
      <c r="J63" s="253"/>
      <c r="K63" s="193"/>
      <c r="L63" s="254">
        <v>0</v>
      </c>
      <c r="M63" s="254">
        <f>J58</f>
        <v>80169600</v>
      </c>
      <c r="N63" s="254">
        <f>H58</f>
        <v>5344640000</v>
      </c>
      <c r="O63" s="254">
        <v>0</v>
      </c>
      <c r="P63" s="254">
        <f>-J58</f>
        <v>-80169600</v>
      </c>
      <c r="Q63" s="255">
        <f>H59</f>
        <v>2672320000</v>
      </c>
      <c r="R63" s="193"/>
      <c r="S63" s="256">
        <v>0</v>
      </c>
      <c r="T63" s="254">
        <v>0</v>
      </c>
      <c r="U63" s="254">
        <v>1</v>
      </c>
      <c r="V63" s="254">
        <v>0</v>
      </c>
      <c r="W63" s="254">
        <v>0</v>
      </c>
      <c r="X63" s="255">
        <v>0</v>
      </c>
      <c r="Y63" s="193"/>
      <c r="Z63" s="254">
        <f>L63*S61+M63*S62+N63*S63+O63*S64+P63*S65+Q63*S66</f>
        <v>-80169600</v>
      </c>
      <c r="AA63" s="254">
        <f>L63*T61+M63*T62+N63*T63+O63*T64+P63*T65+Q63*T66</f>
        <v>0</v>
      </c>
      <c r="AB63" s="254">
        <f>L63*U61+M63*U62+N63*U63+O63*U64+P63*U65+Q63*U66</f>
        <v>5344640000</v>
      </c>
      <c r="AC63" s="254">
        <f>L63*V61+M63*V62+N63*V63+O63*V64+P63*V65+Q63*V66</f>
        <v>80169600</v>
      </c>
      <c r="AD63" s="254">
        <f>L63*W61+M63*W62+N63*W63+O63*W64+P63*W65+Q63*W66</f>
        <v>0</v>
      </c>
      <c r="AE63" s="255">
        <f>L63*X61+M63*X62+N63*X63+O63*X64+P63*X65+Q63*X66</f>
        <v>2672320000</v>
      </c>
      <c r="AF63" s="193"/>
      <c r="AG63" s="257">
        <f t="shared" si="9"/>
        <v>-1.4793151259739339E-3</v>
      </c>
      <c r="AH63" s="257"/>
      <c r="AI63" s="257">
        <f>Z63*AG61+AA63*AG62+AB63*AG63+AC63*AG64+AD63*AG65+AE63*AG66</f>
        <v>-122531.04306085594</v>
      </c>
      <c r="AK63" s="296" t="s">
        <v>369</v>
      </c>
      <c r="AL63" s="293">
        <f>ABS((Z63*AG61+AA63*AG62+AB63*AG63+AC63*AG64+AD63*AG65+AE63*AG66)*($B$8+0.5*B11)/(2*((($B$7*($B$8)^3)/12)+($B$7*$B$8)*(B11+2*$B$8-0.5*$B$8-($B$8+0.5*B11))^2)+($B$9*(B11)^3)/12))</f>
        <v>42.367187982064607</v>
      </c>
      <c r="AM63" s="294" t="str">
        <f t="shared" si="10"/>
        <v>&lt;</v>
      </c>
      <c r="AN63" s="295">
        <f>$J$28</f>
        <v>1440</v>
      </c>
      <c r="AO63" s="298" t="s">
        <v>373</v>
      </c>
      <c r="AP63" s="305">
        <f>((ABS((Z61*AG61+AA61*AG62+AB61*AG63+AC61*AG64+AD61*AG65+AE61*AG66)/((2*$B$7*$B$8)+($B$9*B11))))/$F$28)+((ABS((Z63*AG61+AA63*AG62+AB63*AG63+AC63*AG64+AD63*AG65+AE63*AG66)*($B$8+0.5*B11)/(2*((($B$7*($B$8)^3)/12)+($B$7*$B$8)*(B11+2*$B$8-0.5*$B$8-($B$8+0.5*B11))^2)+($B$9*(B11)^3)/12)))/$J$28)</f>
        <v>3.5281033320880666E-2</v>
      </c>
      <c r="AQ63" s="294" t="str">
        <f t="shared" si="11"/>
        <v>&lt;</v>
      </c>
      <c r="AR63" s="295">
        <v>1</v>
      </c>
      <c r="AX63">
        <f t="shared" si="12"/>
        <v>6</v>
      </c>
      <c r="AY63">
        <f>AX63*1000+AY60</f>
        <v>6004</v>
      </c>
      <c r="AZ63">
        <f>AX63*1000+AZ60</f>
        <v>6005</v>
      </c>
      <c r="BA63">
        <f>AX63*1000+BA60</f>
        <v>6006</v>
      </c>
      <c r="BB63">
        <f>AX63*1000+BB60</f>
        <v>6007</v>
      </c>
      <c r="BC63">
        <f>AX63*1000+BC60</f>
        <v>6008</v>
      </c>
      <c r="BD63">
        <f>AX63*1000+BD60</f>
        <v>6009</v>
      </c>
    </row>
    <row r="64" spans="1:56" ht="16.5" thickBot="1" x14ac:dyDescent="0.3">
      <c r="A64" s="249">
        <f>-(F59*B58^2+J59*B59^2)</f>
        <v>-1603392</v>
      </c>
      <c r="B64" s="245">
        <f>-(F59-J59)*B58*B59</f>
        <v>0</v>
      </c>
      <c r="C64" s="245">
        <f>J58*B59</f>
        <v>80169600</v>
      </c>
      <c r="D64" s="258">
        <f>(F59*B58^2+J59*B59^2)</f>
        <v>1603392</v>
      </c>
      <c r="E64" s="245">
        <f>(F59-J59)*B58*B59</f>
        <v>0</v>
      </c>
      <c r="F64" s="245">
        <f>J58*B59</f>
        <v>80169600</v>
      </c>
      <c r="G64" s="245">
        <v>7</v>
      </c>
      <c r="H64" s="246"/>
      <c r="I64" s="246"/>
      <c r="J64" s="253"/>
      <c r="K64" s="193"/>
      <c r="L64" s="254">
        <f>-F59</f>
        <v>-4200000</v>
      </c>
      <c r="M64" s="254">
        <v>0</v>
      </c>
      <c r="N64" s="254">
        <v>0</v>
      </c>
      <c r="O64" s="254">
        <f>F59</f>
        <v>4200000</v>
      </c>
      <c r="P64" s="254">
        <v>0</v>
      </c>
      <c r="Q64" s="255">
        <v>0</v>
      </c>
      <c r="R64" s="259" t="s">
        <v>287</v>
      </c>
      <c r="S64" s="256">
        <v>0</v>
      </c>
      <c r="T64" s="254">
        <v>0</v>
      </c>
      <c r="U64" s="254">
        <v>0</v>
      </c>
      <c r="V64" s="254">
        <f>B58</f>
        <v>0</v>
      </c>
      <c r="W64" s="254">
        <f>B59</f>
        <v>1</v>
      </c>
      <c r="X64" s="255">
        <v>0</v>
      </c>
      <c r="Y64" s="260" t="s">
        <v>127</v>
      </c>
      <c r="Z64" s="254">
        <f>L64*S61+M64*S62+N64*S63+O64*S64+P64*S65+Q64*S66</f>
        <v>0</v>
      </c>
      <c r="AA64" s="254">
        <f>L64*T61+M64*T62+N64*T63+O64*T64+P64*T65+Q64*T66</f>
        <v>-4200000</v>
      </c>
      <c r="AB64" s="254">
        <f>L64*U61+M64*U62+N64*U63+O64*U64+P64*U65+Q64*U66</f>
        <v>0</v>
      </c>
      <c r="AC64" s="254">
        <f>L64*V61+M64*V62+N64*V63+O64*V64+P64*V65+Q64*V66</f>
        <v>0</v>
      </c>
      <c r="AD64" s="254">
        <f>L64*W61+M64*W62+N64*W63+O64*W64+P64*W65+Q64*W66</f>
        <v>4200000</v>
      </c>
      <c r="AE64" s="255">
        <f>L64*X61+M64*X62+N64*X63+O64*X64+P64*X65+Q64*X66</f>
        <v>0</v>
      </c>
      <c r="AF64" s="259" t="s">
        <v>287</v>
      </c>
      <c r="AG64" s="257">
        <f t="shared" si="9"/>
        <v>0.29526542135238337</v>
      </c>
      <c r="AH64" s="259" t="s">
        <v>127</v>
      </c>
      <c r="AI64" s="257">
        <f>Z64*AG61+AA64*AG62+AB64*AG63+AC64*AG64+AD64*AG65+AE64*AG66</f>
        <v>1687.5000000007108</v>
      </c>
      <c r="AK64" s="296" t="s">
        <v>370</v>
      </c>
      <c r="AL64" s="293">
        <f>ABS((Z64*AG61+AA64*AG62+AB64*AG63+AC64*AG64+AD64*AG65+AE64*AG66)/((2*$B$7*$B$8)+($B$9*B11)))</f>
        <v>8.4375000000035545</v>
      </c>
      <c r="AM64" s="294" t="str">
        <f t="shared" si="10"/>
        <v>&lt;</v>
      </c>
      <c r="AN64" s="295">
        <f>$F$28</f>
        <v>1440</v>
      </c>
      <c r="AO64" s="298" t="s">
        <v>376</v>
      </c>
      <c r="AP64" s="295">
        <f>(B11)/$B$9</f>
        <v>20</v>
      </c>
      <c r="AQ64" s="294" t="str">
        <f t="shared" si="11"/>
        <v>&lt;</v>
      </c>
      <c r="AR64" s="295">
        <f>6370/($J$28)^0.5</f>
        <v>167.86423912727147</v>
      </c>
      <c r="AX64">
        <f t="shared" si="12"/>
        <v>7</v>
      </c>
      <c r="AY64">
        <f>AX64*1000+AY60</f>
        <v>7004</v>
      </c>
      <c r="AZ64">
        <f>AX64*1000+AZ60</f>
        <v>7005</v>
      </c>
      <c r="BA64">
        <f>AX64*1000+BA60</f>
        <v>7006</v>
      </c>
      <c r="BB64">
        <f>AX64*1000+BB60</f>
        <v>7007</v>
      </c>
      <c r="BC64">
        <f>AX64*1000+BC60</f>
        <v>7008</v>
      </c>
      <c r="BD64">
        <f>AX64*1000+BD60</f>
        <v>7009</v>
      </c>
    </row>
    <row r="65" spans="1:56" ht="15.75" thickBot="1" x14ac:dyDescent="0.3">
      <c r="A65" s="249">
        <f>-(F59-J59)*B58*B59</f>
        <v>0</v>
      </c>
      <c r="B65" s="245">
        <f>-(F59*B59^2+J59*B58^2)</f>
        <v>-4200000</v>
      </c>
      <c r="C65" s="245">
        <f>-J58*B58</f>
        <v>0</v>
      </c>
      <c r="D65" s="245">
        <f>(F59-J59)*B58*B59</f>
        <v>0</v>
      </c>
      <c r="E65" s="258">
        <f>(F59*B59^2+J59*B58^2)</f>
        <v>4200000</v>
      </c>
      <c r="F65" s="245">
        <f>-J58*B58</f>
        <v>0</v>
      </c>
      <c r="G65" s="245">
        <v>8</v>
      </c>
      <c r="H65" s="246"/>
      <c r="I65" s="246"/>
      <c r="J65" s="253"/>
      <c r="K65" s="193"/>
      <c r="L65" s="254">
        <v>0</v>
      </c>
      <c r="M65" s="254">
        <f>-J59</f>
        <v>-1603392</v>
      </c>
      <c r="N65" s="254">
        <f>-J58</f>
        <v>-80169600</v>
      </c>
      <c r="O65" s="254">
        <v>0</v>
      </c>
      <c r="P65" s="254">
        <f>J59</f>
        <v>1603392</v>
      </c>
      <c r="Q65" s="255">
        <f>-J58</f>
        <v>-80169600</v>
      </c>
      <c r="R65" s="193"/>
      <c r="S65" s="256">
        <v>0</v>
      </c>
      <c r="T65" s="254">
        <v>0</v>
      </c>
      <c r="U65" s="254">
        <v>0</v>
      </c>
      <c r="V65" s="254">
        <f>-B59</f>
        <v>-1</v>
      </c>
      <c r="W65" s="254">
        <f>B58</f>
        <v>0</v>
      </c>
      <c r="X65" s="255">
        <v>0</v>
      </c>
      <c r="Y65" s="193"/>
      <c r="Z65" s="254">
        <f>L65*S61+M65*S62+N65*S63+O65*S64+P65*S65+Q65*S66</f>
        <v>1603392</v>
      </c>
      <c r="AA65" s="254">
        <f>L65*T61+M65*T62+N65*T63+O65*T64+P65*T65+Q65*T66</f>
        <v>0</v>
      </c>
      <c r="AB65" s="254">
        <f>L65*U61+M65*U62+N65*U63+O65*U64+P65*U65+Q65*U66</f>
        <v>-80169600</v>
      </c>
      <c r="AC65" s="254">
        <f>L65*V61+M65*V62+N65*V63+O65*V64+P65*V65+Q65*V66</f>
        <v>-1603392</v>
      </c>
      <c r="AD65" s="254">
        <f>L65*W61+M65*W62+N65*W63+O65*W64+P65*W65+Q65*W66</f>
        <v>0</v>
      </c>
      <c r="AE65" s="255">
        <f>L65*X61+M65*X62+N65*X63+O65*X64+P65*X65+Q65*X66</f>
        <v>-80169600</v>
      </c>
      <c r="AF65" s="193"/>
      <c r="AG65" s="257">
        <f t="shared" si="9"/>
        <v>8.4821428571464305E-4</v>
      </c>
      <c r="AH65" s="257"/>
      <c r="AI65" s="257">
        <f>Z65*AG61+AA65*AG62+AB65*AG63+AC65*AG64+AD65*AG65+AE65*AG66</f>
        <v>-1225.3104306086025</v>
      </c>
      <c r="AK65" s="296" t="s">
        <v>371</v>
      </c>
      <c r="AL65" s="293">
        <f>ABS((Z65*AG61+AA65*AG62+AB65*AG63+AC65*AG64+AD65*AG65+AE65*AG66)/((2*$B$7*$B$8)+($B$9*B11)))</f>
        <v>6.1265521530430123</v>
      </c>
      <c r="AM65" s="294" t="str">
        <f t="shared" si="10"/>
        <v>&lt;</v>
      </c>
      <c r="AN65" s="295">
        <f>$H$28</f>
        <v>960</v>
      </c>
      <c r="AO65" s="298" t="s">
        <v>374</v>
      </c>
      <c r="AP65" s="295">
        <f>((ABS((Z65*AG61+AA65*AG62+AB65*AG63+AC65*AG64+AD65*AG65+AE65*AG66)/((2*$B$7*$B$8)+($B$9*B11))))/$H$28)</f>
        <v>6.3818251594198044E-3</v>
      </c>
      <c r="AQ65" s="294" t="str">
        <f t="shared" si="11"/>
        <v>&lt;</v>
      </c>
      <c r="AR65" s="295">
        <v>1</v>
      </c>
      <c r="AX65">
        <f t="shared" si="12"/>
        <v>8</v>
      </c>
      <c r="AY65">
        <f>AX65*1000+AY60</f>
        <v>8004</v>
      </c>
      <c r="AZ65">
        <f>AX65*1000+AZ60</f>
        <v>8005</v>
      </c>
      <c r="BA65">
        <f>AX65*1000+BA60</f>
        <v>8006</v>
      </c>
      <c r="BB65">
        <f>AX65*1000+BB60</f>
        <v>8007</v>
      </c>
      <c r="BC65">
        <f>AX65*1000+BC60</f>
        <v>8008</v>
      </c>
      <c r="BD65">
        <f>AX65*1000+BD60</f>
        <v>8009</v>
      </c>
    </row>
    <row r="66" spans="1:56" ht="15.75" thickBot="1" x14ac:dyDescent="0.3">
      <c r="A66" s="261">
        <f>-J58*B59</f>
        <v>-80169600</v>
      </c>
      <c r="B66" s="262">
        <f>J58*B58</f>
        <v>0</v>
      </c>
      <c r="C66" s="262">
        <f>H59</f>
        <v>2672320000</v>
      </c>
      <c r="D66" s="262">
        <f>J58*B59</f>
        <v>80169600</v>
      </c>
      <c r="E66" s="262">
        <f>-J58*B58</f>
        <v>0</v>
      </c>
      <c r="F66" s="263">
        <f>H58</f>
        <v>5344640000</v>
      </c>
      <c r="G66" s="262">
        <v>9</v>
      </c>
      <c r="H66" s="264"/>
      <c r="I66" s="264"/>
      <c r="J66" s="265"/>
      <c r="K66" s="193"/>
      <c r="L66" s="254">
        <v>0</v>
      </c>
      <c r="M66" s="254">
        <f>J58</f>
        <v>80169600</v>
      </c>
      <c r="N66" s="254">
        <f>H59</f>
        <v>2672320000</v>
      </c>
      <c r="O66" s="254">
        <v>0</v>
      </c>
      <c r="P66" s="254">
        <f>-J58</f>
        <v>-80169600</v>
      </c>
      <c r="Q66" s="255">
        <f>H58</f>
        <v>5344640000</v>
      </c>
      <c r="R66" s="193"/>
      <c r="S66" s="256">
        <v>0</v>
      </c>
      <c r="T66" s="254">
        <v>0</v>
      </c>
      <c r="U66" s="254">
        <v>0</v>
      </c>
      <c r="V66" s="254">
        <v>0</v>
      </c>
      <c r="W66" s="254">
        <v>0</v>
      </c>
      <c r="X66" s="255">
        <v>1</v>
      </c>
      <c r="Y66" s="193"/>
      <c r="Z66" s="254">
        <f>L66*S61+M66*S62+N66*S63+O66*S64+P66*S65+Q66*S66</f>
        <v>-80169600</v>
      </c>
      <c r="AA66" s="254">
        <f>L66*T61+M66*T62+N66*T63+O66*T64+P66*T65+Q66*T66</f>
        <v>0</v>
      </c>
      <c r="AB66" s="254">
        <f>L66*U61+M66*U62+N66*U63+O66*U64+P66*U65+Q66*U66</f>
        <v>2672320000</v>
      </c>
      <c r="AC66" s="254">
        <f>L66*V61+M66*V62+N66*V63+O66*V64+P66*V65+Q66*V66</f>
        <v>80169600</v>
      </c>
      <c r="AD66" s="254">
        <f>L66*W61+M66*W62+N66*W63+O66*W64+P66*W65+Q66*W66</f>
        <v>0</v>
      </c>
      <c r="AE66" s="255">
        <f>L66*X61+M66*X62+N66*X63+O66*X64+P66*X65+Q66*X66</f>
        <v>5344640000</v>
      </c>
      <c r="AF66" s="193"/>
      <c r="AG66" s="257">
        <f t="shared" si="9"/>
        <v>-1.3417593208373598E-3</v>
      </c>
      <c r="AH66" s="257"/>
      <c r="AI66" s="257">
        <f>Z66*AG61+AA66*AG62+AB66*AG63+AC66*AG64+AD66*AG65+AE66*AG66</f>
        <v>245062.08612171561</v>
      </c>
      <c r="AK66" s="296" t="s">
        <v>372</v>
      </c>
      <c r="AL66" s="293">
        <f>ABS((Z66*AG61+AA66*AG62+AB66*AG63+AC66*AG64+AD66*AG65+AE66*AG66)*($B$8+0.5*B11)/(2*((($B$7*($B$8)^3)/12)+($B$7*$B$8)*(B11+2*$B$8-0.5*$B$8-($B$8+0.5*B11))^2)+($B$9*(B11)^3)/12))</f>
        <v>84.734375964130507</v>
      </c>
      <c r="AM66" s="294" t="str">
        <f t="shared" si="10"/>
        <v>&lt;</v>
      </c>
      <c r="AN66" s="295">
        <f>$J$28</f>
        <v>1440</v>
      </c>
      <c r="AO66" s="298" t="s">
        <v>373</v>
      </c>
      <c r="AP66" s="305">
        <f>((ABS((Z64*AG61+AA64*AG62+AB64*AG63+AC64*AG64+AD64*AG65+AE64*AG66)/((2*$B$7*$B$8)+($B$9*B11))))/$F$28)+((ABS((Z66*AG61+AA66*AG62+AB66*AG63+AC66*AG64+AD66*AG65+AE66*AG66)*($B$8+0.5*B11)/(2*((($B$7*($B$8)^3)/12)+($B$7*$B$8)*(B11+2*$B$8-0.5*$B$8-($B$8+0.5*B11))^2)+($B$9*(B11)^3)/12)))/$J$28)</f>
        <v>6.4702691641759763E-2</v>
      </c>
      <c r="AQ66" s="294" t="str">
        <f t="shared" si="11"/>
        <v>&lt;</v>
      </c>
      <c r="AR66" s="295">
        <v>1</v>
      </c>
      <c r="AX66">
        <f t="shared" si="12"/>
        <v>9</v>
      </c>
      <c r="AY66">
        <f>AX66*1000+AY60</f>
        <v>9004</v>
      </c>
      <c r="AZ66">
        <f>AX66*1000+AZ60</f>
        <v>9005</v>
      </c>
      <c r="BA66">
        <f>AX66*1000+BA60</f>
        <v>9006</v>
      </c>
      <c r="BB66">
        <f>AX66*1000+BB60</f>
        <v>9007</v>
      </c>
      <c r="BC66">
        <f>AX66*1000+BC60</f>
        <v>9008</v>
      </c>
      <c r="BD66">
        <f>AX66*1000+BD60</f>
        <v>9009</v>
      </c>
    </row>
    <row r="67" spans="1:56" x14ac:dyDescent="0.25">
      <c r="A67" s="239" t="s">
        <v>279</v>
      </c>
      <c r="B67" s="240">
        <f>(D34-B34)/F34</f>
        <v>0</v>
      </c>
      <c r="C67" s="241" t="s">
        <v>280</v>
      </c>
      <c r="D67" s="240">
        <f>$B$8+0.5*B12</f>
        <v>27</v>
      </c>
      <c r="E67" s="241" t="s">
        <v>30</v>
      </c>
      <c r="F67" s="242">
        <f>2*((($B$7*($B$8)^3)/12)+($B$7*$B$8)*(B12+2*$B$8-0.5*$B$8-($B$8+0.5*B12))^2)+($B$9*(B12)^3)/12</f>
        <v>101993.33333333333</v>
      </c>
      <c r="G67" s="241" t="s">
        <v>281</v>
      </c>
      <c r="H67" s="241">
        <f>4*$B$28*(2*((($B$7*($B$8)^3)/12)+($B$7*$B$8)*(B12+2*$B$8-0.5*$B$8-($B$8+0.5*B12))^2)+($B$9*(B12)^3)/12)/F34</f>
        <v>8567440000</v>
      </c>
      <c r="I67" s="241" t="s">
        <v>282</v>
      </c>
      <c r="J67" s="243">
        <f>6*$B$28*(2*((($B$7*($B$8)^3)/12)+($B$7*$B$8)*(B12+2*$B$8-0.5*$B$8-($B$8+0.5*B12))^2)+($B$9*(B12)^3)/12)/(F34^2)</f>
        <v>128511600</v>
      </c>
      <c r="AG67" s="254"/>
      <c r="AH67" s="254"/>
      <c r="AI67" s="254"/>
    </row>
    <row r="68" spans="1:56" x14ac:dyDescent="0.25">
      <c r="A68" s="244" t="s">
        <v>283</v>
      </c>
      <c r="B68" s="245">
        <f>(E34-C34)/F34</f>
        <v>1</v>
      </c>
      <c r="C68" s="246" t="s">
        <v>13</v>
      </c>
      <c r="D68" s="247">
        <f>(2*$B$7*$B$8)+($B$9*B12)</f>
        <v>220</v>
      </c>
      <c r="E68" s="246" t="s">
        <v>284</v>
      </c>
      <c r="F68" s="246">
        <f>$B$28*((2*$B$7*$B$8)+($B$9*B12))/F34</f>
        <v>4620000</v>
      </c>
      <c r="G68" s="246" t="s">
        <v>285</v>
      </c>
      <c r="H68" s="246">
        <f>2*$B$28*(2*((($B$7*($B$8)^3)/12)+($B$7*$B$8)*(B12+2*$B$8-0.5*$B$8-($B$8+0.5*B12))^2)+($B$9*(B12)^3)/12)/F34</f>
        <v>4283720000</v>
      </c>
      <c r="I68" s="246" t="s">
        <v>286</v>
      </c>
      <c r="J68" s="248">
        <f>12*$B$28*(2*((($B$7*($B$8)^3)/12)+($B$7*$B$8)*(B12+2*$B$8-0.5*$B$8-($B$8+0.5*B12))^2)+($B$9*(B12)^3)/12)/(F34^3)</f>
        <v>2570232</v>
      </c>
      <c r="AG68" s="254"/>
      <c r="AH68" s="254"/>
      <c r="AI68" s="254"/>
    </row>
    <row r="69" spans="1:56" ht="15.75" thickBot="1" x14ac:dyDescent="0.3">
      <c r="A69" s="249">
        <f>G70</f>
        <v>7</v>
      </c>
      <c r="B69" s="245">
        <f>G71</f>
        <v>8</v>
      </c>
      <c r="C69" s="245">
        <f>G72</f>
        <v>9</v>
      </c>
      <c r="D69" s="245">
        <f>G73</f>
        <v>10</v>
      </c>
      <c r="E69" s="245">
        <f>G74</f>
        <v>11</v>
      </c>
      <c r="F69" s="245">
        <f>G75</f>
        <v>12</v>
      </c>
      <c r="G69" s="250"/>
      <c r="H69" s="246"/>
      <c r="I69" s="246"/>
      <c r="J69" s="251">
        <v>3</v>
      </c>
      <c r="AG69" s="254"/>
      <c r="AH69" s="254"/>
      <c r="AI69" s="254"/>
      <c r="AY69">
        <f>AX70</f>
        <v>7</v>
      </c>
      <c r="AZ69">
        <f>AX71</f>
        <v>8</v>
      </c>
      <c r="BA69">
        <f>AX72</f>
        <v>9</v>
      </c>
      <c r="BB69">
        <f>AX73</f>
        <v>10</v>
      </c>
      <c r="BC69">
        <f>AX74</f>
        <v>11</v>
      </c>
      <c r="BD69">
        <f>AX75</f>
        <v>12</v>
      </c>
    </row>
    <row r="70" spans="1:56" ht="15.75" thickBot="1" x14ac:dyDescent="0.3">
      <c r="A70" s="252">
        <f>(F68*B67^2+J68*B68^2)</f>
        <v>2570232</v>
      </c>
      <c r="B70" s="245">
        <f>(F68-J68)*B67*B68</f>
        <v>0</v>
      </c>
      <c r="C70" s="245">
        <f>-J67*B68</f>
        <v>-128511600</v>
      </c>
      <c r="D70" s="245">
        <f>-(F68*B67^2+J68*B68^2)</f>
        <v>-2570232</v>
      </c>
      <c r="E70" s="245">
        <f>-(F68-J68)*B67*B68</f>
        <v>0</v>
      </c>
      <c r="F70" s="245">
        <f>-J67*B68</f>
        <v>-128511600</v>
      </c>
      <c r="G70" s="245">
        <v>7</v>
      </c>
      <c r="H70" s="246"/>
      <c r="I70" s="250"/>
      <c r="J70" s="253"/>
      <c r="K70" s="193"/>
      <c r="L70" s="254">
        <f>F68</f>
        <v>4620000</v>
      </c>
      <c r="M70" s="254">
        <v>0</v>
      </c>
      <c r="N70" s="254">
        <v>0</v>
      </c>
      <c r="O70" s="254">
        <f>-F68</f>
        <v>-4620000</v>
      </c>
      <c r="P70" s="254">
        <v>0</v>
      </c>
      <c r="Q70" s="255">
        <v>0</v>
      </c>
      <c r="R70" s="193"/>
      <c r="S70" s="256">
        <f>B67</f>
        <v>0</v>
      </c>
      <c r="T70" s="254">
        <f>B68</f>
        <v>1</v>
      </c>
      <c r="U70" s="254">
        <v>0</v>
      </c>
      <c r="V70" s="254">
        <v>0</v>
      </c>
      <c r="W70" s="254">
        <v>0</v>
      </c>
      <c r="X70" s="255">
        <v>0</v>
      </c>
      <c r="Y70" s="193"/>
      <c r="Z70" s="254">
        <f>L70*S70+M70*S71+N70*S72+O70*S73+P70*S74+Q70*S75</f>
        <v>0</v>
      </c>
      <c r="AA70" s="254">
        <f>L70*T70+M70*T71+N70*T72+O70*T73+P70*T74+Q70*T75</f>
        <v>4620000</v>
      </c>
      <c r="AB70" s="254">
        <f>L70*U70+M70*U71+N70*U72+O70*U73+P70*U74+Q70*U75</f>
        <v>0</v>
      </c>
      <c r="AC70" s="254">
        <f>L70*V70+M70*V71+N70*V72+O70*V73+P70*V74+Q70*V75</f>
        <v>0</v>
      </c>
      <c r="AD70" s="254">
        <f>L70*W70+M70*W71+N70*W72+O70*W73+P70*W74+Q70*W75</f>
        <v>-4620000</v>
      </c>
      <c r="AE70" s="255">
        <f>L70*X70+M70*X71+N70*X72+O70*X73+P70*X74+Q70*X75</f>
        <v>0</v>
      </c>
      <c r="AF70" s="193"/>
      <c r="AG70" s="257">
        <f t="shared" ref="AG70:AG75" si="13">G11</f>
        <v>0.29526542135238337</v>
      </c>
      <c r="AH70" s="257"/>
      <c r="AI70" s="257">
        <f>Z70*AG70+AA70*AG71+AB70*AG72+AC70*AG73+AD70*AG74+AE70*AG75</f>
        <v>-1687.5000000007112</v>
      </c>
      <c r="AK70" s="296" t="s">
        <v>367</v>
      </c>
      <c r="AL70" s="293">
        <f>ABS((Z70*AG70+AA70*AG71+AB70*AG72+AC70*AG73+AD70*AG74+AE70*AG75)/((2*$B$7*$B$8)+($B$9*B12)))</f>
        <v>7.6704545454577779</v>
      </c>
      <c r="AM70" s="294" t="str">
        <f t="shared" ref="AM70:AM75" si="14">IF(AL70&gt;AN70,"&gt;",IF(AL70&lt;AN70,"&lt;",))</f>
        <v>&lt;</v>
      </c>
      <c r="AN70" s="295">
        <f>$F$28</f>
        <v>1440</v>
      </c>
      <c r="AO70" s="298" t="s">
        <v>379</v>
      </c>
      <c r="AP70" s="295">
        <f>(ABS((Z70*AG70+AA70*AG71+AB70*AG72+AC70*AG73+AD70*AG74+AE70*AG75)/((2*$B$7*$B$8)+($B$9*B12))))/$F$28</f>
        <v>5.3267045454567907E-3</v>
      </c>
      <c r="AQ70" s="294" t="str">
        <f t="shared" ref="AQ70:AQ75" si="15">IF(AP70&gt;AR70,"&gt;",IF(AP70&lt;AR70,"&lt;",))</f>
        <v>&lt;</v>
      </c>
      <c r="AR70" s="295">
        <v>0.15</v>
      </c>
      <c r="AX70">
        <f t="shared" ref="AX70:AX75" si="16">G70</f>
        <v>7</v>
      </c>
      <c r="AY70">
        <f>AX70*1000+AY69</f>
        <v>7007</v>
      </c>
      <c r="AZ70">
        <f>AX70*1000+AZ69</f>
        <v>7008</v>
      </c>
      <c r="BA70">
        <f>AX70*1000+BA69</f>
        <v>7009</v>
      </c>
      <c r="BB70">
        <f>AX70*1000+BB69</f>
        <v>7010</v>
      </c>
      <c r="BC70">
        <f>AX70*1000+BC69</f>
        <v>7011</v>
      </c>
      <c r="BD70">
        <f>AX70*1000+BD69</f>
        <v>7012</v>
      </c>
    </row>
    <row r="71" spans="1:56" ht="15.75" thickBot="1" x14ac:dyDescent="0.3">
      <c r="A71" s="249">
        <f>(F68-J68)*B67*B68</f>
        <v>0</v>
      </c>
      <c r="B71" s="258">
        <f>(F68*B68^2+J68*B67^2)</f>
        <v>4620000</v>
      </c>
      <c r="C71" s="245">
        <f>J67*B67</f>
        <v>0</v>
      </c>
      <c r="D71" s="245">
        <f>-(F68-J68)*B67*B68</f>
        <v>0</v>
      </c>
      <c r="E71" s="245">
        <f>-(F68*B68^2+J68*B67^2)</f>
        <v>-4620000</v>
      </c>
      <c r="F71" s="245">
        <f>J67*B67</f>
        <v>0</v>
      </c>
      <c r="G71" s="245">
        <v>8</v>
      </c>
      <c r="H71" s="246"/>
      <c r="I71" s="246"/>
      <c r="J71" s="253"/>
      <c r="K71" s="193"/>
      <c r="L71" s="254">
        <v>0</v>
      </c>
      <c r="M71" s="254">
        <f>J68</f>
        <v>2570232</v>
      </c>
      <c r="N71" s="254">
        <f>J67</f>
        <v>128511600</v>
      </c>
      <c r="O71" s="254">
        <v>0</v>
      </c>
      <c r="P71" s="254">
        <f>-J68</f>
        <v>-2570232</v>
      </c>
      <c r="Q71" s="255">
        <f>J67</f>
        <v>128511600</v>
      </c>
      <c r="R71" s="193"/>
      <c r="S71" s="256">
        <f>-B68</f>
        <v>-1</v>
      </c>
      <c r="T71" s="254">
        <f>B67</f>
        <v>0</v>
      </c>
      <c r="U71" s="254">
        <v>0</v>
      </c>
      <c r="V71" s="254">
        <v>0</v>
      </c>
      <c r="W71" s="254">
        <v>0</v>
      </c>
      <c r="X71" s="255">
        <v>0</v>
      </c>
      <c r="Y71" s="193"/>
      <c r="Z71" s="254">
        <f>L71*S70+M71*S71+N71*S72+O71*S73+P71*S74+Q71*S75</f>
        <v>-2570232</v>
      </c>
      <c r="AA71" s="254">
        <f>L71*T70+M71*T71+N71*T72+O71*T73+P71*T74+Q71*T75</f>
        <v>0</v>
      </c>
      <c r="AB71" s="254">
        <f>L71*U70+M71*U71+N71*U72+O71*U73+P71*U74+Q71*U75</f>
        <v>128511600</v>
      </c>
      <c r="AC71" s="254">
        <f>L71*V70+M71*V71+N71*V72+O71*V73+P71*V74+Q71*V75</f>
        <v>2570232</v>
      </c>
      <c r="AD71" s="254">
        <f>L71*W70+M71*W71+N71*W72+O71*W73+P71*W74+Q71*W75</f>
        <v>0</v>
      </c>
      <c r="AE71" s="255">
        <f>L71*X70+M71*X71+N71*X72+O71*X73+P71*X74+Q71*X75</f>
        <v>128511600</v>
      </c>
      <c r="AF71" s="193"/>
      <c r="AG71" s="257">
        <f t="shared" si="13"/>
        <v>8.4821428571464305E-4</v>
      </c>
      <c r="AH71" s="257"/>
      <c r="AI71" s="257">
        <f>Z71*AG70+AA71*AG71+AB71*AG72+AC71*AG73+AD71*AG74+AE71*AG75</f>
        <v>1225.3104306085443</v>
      </c>
      <c r="AK71" s="296" t="s">
        <v>368</v>
      </c>
      <c r="AL71" s="293">
        <f>ABS((Z71*AG70+AA71*AG71+AB71*AG72+AC71*AG73+AD71*AG74+AE71*AG75)/((2*$B$7*$B$8)+($B$9*B12)))</f>
        <v>5.5695928664024743</v>
      </c>
      <c r="AM71" s="294" t="str">
        <f t="shared" si="14"/>
        <v>&lt;</v>
      </c>
      <c r="AN71" s="295">
        <f>$H$28</f>
        <v>960</v>
      </c>
      <c r="AO71" s="298" t="s">
        <v>374</v>
      </c>
      <c r="AP71" s="295">
        <f>((ABS((Z71*AG70+AA71*AG71+AB71*AG72+AC71*AG73+AD71*AG74+AE71*AG75)/((2*$B$7*$B$8)+($B$9*B12))))/$H$28)</f>
        <v>5.8016592358359105E-3</v>
      </c>
      <c r="AQ71" s="294" t="str">
        <f t="shared" si="15"/>
        <v>&lt;</v>
      </c>
      <c r="AR71" s="295">
        <v>1</v>
      </c>
      <c r="AX71">
        <f t="shared" si="16"/>
        <v>8</v>
      </c>
      <c r="AY71">
        <f>AX71*1000+AY69</f>
        <v>8007</v>
      </c>
      <c r="AZ71">
        <f>AX71*1000+AZ69</f>
        <v>8008</v>
      </c>
      <c r="BA71">
        <f>AX71*1000+BA69</f>
        <v>8009</v>
      </c>
      <c r="BB71">
        <f>AX71*1000+BB69</f>
        <v>8010</v>
      </c>
      <c r="BC71">
        <f>AX71*1000+BC69</f>
        <v>8011</v>
      </c>
      <c r="BD71">
        <f>AX71*1000+BD69</f>
        <v>8012</v>
      </c>
    </row>
    <row r="72" spans="1:56" ht="15.75" thickBot="1" x14ac:dyDescent="0.3">
      <c r="A72" s="249">
        <f>-J67*B68</f>
        <v>-128511600</v>
      </c>
      <c r="B72" s="245">
        <f>J67*B67</f>
        <v>0</v>
      </c>
      <c r="C72" s="258">
        <f>H67</f>
        <v>8567440000</v>
      </c>
      <c r="D72" s="245">
        <f>J67*B68</f>
        <v>128511600</v>
      </c>
      <c r="E72" s="245">
        <f>-J67*B67</f>
        <v>0</v>
      </c>
      <c r="F72" s="245">
        <f>H68</f>
        <v>4283720000</v>
      </c>
      <c r="G72" s="245">
        <v>9</v>
      </c>
      <c r="H72" s="246"/>
      <c r="I72" s="246"/>
      <c r="J72" s="253"/>
      <c r="K72" s="193"/>
      <c r="L72" s="254">
        <v>0</v>
      </c>
      <c r="M72" s="254">
        <f>J67</f>
        <v>128511600</v>
      </c>
      <c r="N72" s="254">
        <f>H67</f>
        <v>8567440000</v>
      </c>
      <c r="O72" s="254">
        <v>0</v>
      </c>
      <c r="P72" s="254">
        <f>-J67</f>
        <v>-128511600</v>
      </c>
      <c r="Q72" s="255">
        <f>H68</f>
        <v>4283720000</v>
      </c>
      <c r="R72" s="193"/>
      <c r="S72" s="256">
        <v>0</v>
      </c>
      <c r="T72" s="254">
        <v>0</v>
      </c>
      <c r="U72" s="254">
        <v>1</v>
      </c>
      <c r="V72" s="254">
        <v>0</v>
      </c>
      <c r="W72" s="254">
        <v>0</v>
      </c>
      <c r="X72" s="255">
        <v>0</v>
      </c>
      <c r="Y72" s="193"/>
      <c r="Z72" s="254">
        <f>L72*S70+M72*S71+N72*S72+O72*S73+P72*S74+Q72*S75</f>
        <v>-128511600</v>
      </c>
      <c r="AA72" s="254">
        <f>L72*T70+M72*T71+N72*T72+O72*T73+P72*T74+Q72*T75</f>
        <v>0</v>
      </c>
      <c r="AB72" s="254">
        <f>L72*U70+M72*U71+N72*U72+O72*U73+P72*U74+Q72*U75</f>
        <v>8567440000</v>
      </c>
      <c r="AC72" s="254">
        <f>L72*V70+M72*V71+N72*V72+O72*V73+P72*V74+Q72*V75</f>
        <v>128511600</v>
      </c>
      <c r="AD72" s="254">
        <f>L72*W70+M72*W71+N72*W72+O72*W73+P72*W74+Q72*W75</f>
        <v>0</v>
      </c>
      <c r="AE72" s="255">
        <f>L72*X70+M72*X71+N72*X72+O72*X73+P72*X74+Q72*X75</f>
        <v>4283720000</v>
      </c>
      <c r="AF72" s="193"/>
      <c r="AG72" s="257">
        <f t="shared" si="13"/>
        <v>-1.3417593208373598E-3</v>
      </c>
      <c r="AH72" s="257"/>
      <c r="AI72" s="257">
        <f>Z72*AG70+AA72*AG71+AB72*AG72+AC72*AG73+AD72*AG74+AE72*AG75</f>
        <v>-245062.08612171747</v>
      </c>
      <c r="AK72" s="296" t="s">
        <v>369</v>
      </c>
      <c r="AL72" s="293">
        <f>ABS((Z72*AG70+AA72*AG71+AB72*AG72+AC72*AG73+AD72*AG74+AE72*AG75)*($B$8+0.5*B12)/(2*((($B$7*($B$8)^3)/12)+($B$7*$B$8)*(B12+2*$B$8-0.5*$B$8-($B$8+0.5*B12))^2)+($B$9*(B12)^3)/12))</f>
        <v>64.873615843712386</v>
      </c>
      <c r="AM72" s="294" t="str">
        <f t="shared" si="14"/>
        <v>&lt;</v>
      </c>
      <c r="AN72" s="295">
        <f>$J$28</f>
        <v>1440</v>
      </c>
      <c r="AO72" s="298" t="s">
        <v>373</v>
      </c>
      <c r="AP72" s="305">
        <f>((ABS((Z70*AG70+AA70*AG71+AB70*AG72+AC70*AG73+AD70*AG74+AE70*AG75)/((2*$B$7*$B$8)+($B$9*B12))))/$F$28)+((ABS((Z72*AG70+AA72*AG71+AB72*AG72+AC72*AG73+AD72*AG74+AE72*AG75)*($B$8+0.5*B12)/(2*((($B$7*($B$8)^3)/12)+($B$7*$B$8)*(B12+2*$B$8-0.5*$B$8-($B$8+0.5*B12))^2)+($B$9*(B12)^3)/12)))/$J$28)</f>
        <v>5.0377826659145947E-2</v>
      </c>
      <c r="AQ72" s="294" t="str">
        <f t="shared" si="15"/>
        <v>&lt;</v>
      </c>
      <c r="AR72" s="295">
        <v>1</v>
      </c>
      <c r="AX72">
        <f t="shared" si="16"/>
        <v>9</v>
      </c>
      <c r="AY72">
        <f>AX72*1000+AY69</f>
        <v>9007</v>
      </c>
      <c r="AZ72">
        <f>AX72*1000+AZ69</f>
        <v>9008</v>
      </c>
      <c r="BA72">
        <f>AX72*1000+BA69</f>
        <v>9009</v>
      </c>
      <c r="BB72">
        <f>AX72*1000+BB69</f>
        <v>9010</v>
      </c>
      <c r="BC72">
        <f>AX72*1000+BC69</f>
        <v>9011</v>
      </c>
      <c r="BD72">
        <f>AX72*1000+BD69</f>
        <v>9012</v>
      </c>
    </row>
    <row r="73" spans="1:56" ht="16.5" thickBot="1" x14ac:dyDescent="0.3">
      <c r="A73" s="249">
        <f>-(F68*B67^2+J68*B68^2)</f>
        <v>-2570232</v>
      </c>
      <c r="B73" s="245">
        <f>-(F68-J68)*B67*B68</f>
        <v>0</v>
      </c>
      <c r="C73" s="245">
        <f>J67*B68</f>
        <v>128511600</v>
      </c>
      <c r="D73" s="258">
        <f>(F68*B67^2+J68*B68^2)</f>
        <v>2570232</v>
      </c>
      <c r="E73" s="245">
        <f>(F68-J68)*B67*B68</f>
        <v>0</v>
      </c>
      <c r="F73" s="245">
        <f>J67*B68</f>
        <v>128511600</v>
      </c>
      <c r="G73" s="245">
        <v>10</v>
      </c>
      <c r="H73" s="246"/>
      <c r="I73" s="246"/>
      <c r="J73" s="253"/>
      <c r="K73" s="193"/>
      <c r="L73" s="254">
        <f>-F68</f>
        <v>-4620000</v>
      </c>
      <c r="M73" s="254">
        <v>0</v>
      </c>
      <c r="N73" s="254">
        <v>0</v>
      </c>
      <c r="O73" s="254">
        <f>F68</f>
        <v>4620000</v>
      </c>
      <c r="P73" s="254">
        <v>0</v>
      </c>
      <c r="Q73" s="255">
        <v>0</v>
      </c>
      <c r="R73" s="259" t="s">
        <v>287</v>
      </c>
      <c r="S73" s="256">
        <v>0</v>
      </c>
      <c r="T73" s="254">
        <v>0</v>
      </c>
      <c r="U73" s="254">
        <v>0</v>
      </c>
      <c r="V73" s="254">
        <f>B67</f>
        <v>0</v>
      </c>
      <c r="W73" s="254">
        <f>B68</f>
        <v>1</v>
      </c>
      <c r="X73" s="255">
        <v>0</v>
      </c>
      <c r="Y73" s="260" t="s">
        <v>127</v>
      </c>
      <c r="Z73" s="254">
        <f>L73*S70+M73*S71+N73*S72+O73*S73+P73*S74+Q73*S75</f>
        <v>0</v>
      </c>
      <c r="AA73" s="254">
        <f>L73*T70+M73*T71+N73*T72+O73*T73+P73*T74+Q73*T75</f>
        <v>-4620000</v>
      </c>
      <c r="AB73" s="254">
        <f>L73*U70+M73*U71+N73*U72+O73*U73+P73*U74+Q73*U75</f>
        <v>0</v>
      </c>
      <c r="AC73" s="254">
        <f>L73*V70+M73*V71+N73*V72+O73*V73+P73*V74+Q73*V75</f>
        <v>0</v>
      </c>
      <c r="AD73" s="254">
        <f>L73*W70+M73*W71+N73*W72+O73*W73+P73*W74+Q73*W75</f>
        <v>4620000</v>
      </c>
      <c r="AE73" s="255">
        <f>L73*X70+M73*X71+N73*X72+O73*X73+P73*X74+Q73*X75</f>
        <v>0</v>
      </c>
      <c r="AF73" s="259" t="s">
        <v>287</v>
      </c>
      <c r="AG73" s="257">
        <f t="shared" si="13"/>
        <v>0.42276711312298026</v>
      </c>
      <c r="AH73" s="259" t="s">
        <v>127</v>
      </c>
      <c r="AI73" s="257">
        <f>Z73*AG70+AA73*AG71+AB73*AG72+AC73*AG73+AD73*AG74+AE73*AG75</f>
        <v>1687.5000000007112</v>
      </c>
      <c r="AK73" s="296" t="s">
        <v>370</v>
      </c>
      <c r="AL73" s="293">
        <f>ABS((Z73*AG70+AA73*AG71+AB73*AG72+AC73*AG73+AD73*AG74+AE73*AG75)/((2*$B$7*$B$8)+($B$9*B12)))</f>
        <v>7.6704545454577779</v>
      </c>
      <c r="AM73" s="294" t="str">
        <f t="shared" si="14"/>
        <v>&lt;</v>
      </c>
      <c r="AN73" s="295">
        <f>$F$28</f>
        <v>1440</v>
      </c>
      <c r="AO73" s="298" t="s">
        <v>377</v>
      </c>
      <c r="AP73" s="295">
        <f>(B12)/$B$9</f>
        <v>25</v>
      </c>
      <c r="AQ73" s="294" t="str">
        <f t="shared" si="15"/>
        <v>&lt;</v>
      </c>
      <c r="AR73" s="295">
        <f>6370/($J$28)^0.5</f>
        <v>167.86423912727147</v>
      </c>
      <c r="AX73">
        <f t="shared" si="16"/>
        <v>10</v>
      </c>
      <c r="AY73">
        <f>AX73*1000+AY69</f>
        <v>10007</v>
      </c>
      <c r="AZ73">
        <f>AX73*1000+AZ69</f>
        <v>10008</v>
      </c>
      <c r="BA73">
        <f>AX73*1000+BA69</f>
        <v>10009</v>
      </c>
      <c r="BB73">
        <f>AX73*1000+BB69</f>
        <v>10010</v>
      </c>
      <c r="BC73">
        <f>AX73*1000+BC69</f>
        <v>10011</v>
      </c>
      <c r="BD73">
        <f>AX73*1000+BD69</f>
        <v>10012</v>
      </c>
    </row>
    <row r="74" spans="1:56" ht="15.75" thickBot="1" x14ac:dyDescent="0.3">
      <c r="A74" s="249">
        <f>-(F68-J68)*B67*B68</f>
        <v>0</v>
      </c>
      <c r="B74" s="245">
        <f>-(F68*B68^2+J68*B67^2)</f>
        <v>-4620000</v>
      </c>
      <c r="C74" s="245">
        <f>-J67*B67</f>
        <v>0</v>
      </c>
      <c r="D74" s="245">
        <f>(F68-J68)*B67*B68</f>
        <v>0</v>
      </c>
      <c r="E74" s="258">
        <f>(F68*B68^2+J68*B67^2)</f>
        <v>4620000</v>
      </c>
      <c r="F74" s="245">
        <f>-J67*B67</f>
        <v>0</v>
      </c>
      <c r="G74" s="245">
        <v>11</v>
      </c>
      <c r="H74" s="246"/>
      <c r="I74" s="246"/>
      <c r="J74" s="253"/>
      <c r="K74" s="193"/>
      <c r="L74" s="254">
        <v>0</v>
      </c>
      <c r="M74" s="254">
        <f>-J68</f>
        <v>-2570232</v>
      </c>
      <c r="N74" s="254">
        <f>-J67</f>
        <v>-128511600</v>
      </c>
      <c r="O74" s="254">
        <v>0</v>
      </c>
      <c r="P74" s="254">
        <f>J68</f>
        <v>2570232</v>
      </c>
      <c r="Q74" s="255">
        <f>-J67</f>
        <v>-128511600</v>
      </c>
      <c r="R74" s="193"/>
      <c r="S74" s="256">
        <v>0</v>
      </c>
      <c r="T74" s="254">
        <v>0</v>
      </c>
      <c r="U74" s="254">
        <v>0</v>
      </c>
      <c r="V74" s="254">
        <f>-B68</f>
        <v>-1</v>
      </c>
      <c r="W74" s="254">
        <f>B67</f>
        <v>0</v>
      </c>
      <c r="X74" s="255">
        <v>0</v>
      </c>
      <c r="Y74" s="193"/>
      <c r="Z74" s="254">
        <f>L74*S70+M74*S71+N74*S72+O74*S73+P74*S74+Q74*S75</f>
        <v>2570232</v>
      </c>
      <c r="AA74" s="254">
        <f>L74*T70+M74*T71+N74*T72+O74*T73+P74*T74+Q74*T75</f>
        <v>0</v>
      </c>
      <c r="AB74" s="254">
        <f>L74*U70+M74*U71+N74*U72+O74*U73+P74*U74+Q74*U75</f>
        <v>-128511600</v>
      </c>
      <c r="AC74" s="254">
        <f>L74*V70+M74*V71+N74*V72+O74*V73+P74*V74+Q74*V75</f>
        <v>-2570232</v>
      </c>
      <c r="AD74" s="254">
        <f>L74*W70+M74*W71+N74*W72+O74*W73+P74*W74+Q74*W75</f>
        <v>0</v>
      </c>
      <c r="AE74" s="255">
        <f>L74*X70+M74*X71+N74*X72+O74*X73+P74*X74+Q74*X75</f>
        <v>-128511600</v>
      </c>
      <c r="AF74" s="193"/>
      <c r="AG74" s="257">
        <f t="shared" si="13"/>
        <v>1.2134740259745372E-3</v>
      </c>
      <c r="AH74" s="257"/>
      <c r="AI74" s="257">
        <f>Z74*AG70+AA74*AG71+AB74*AG72+AC74*AG73+AD74*AG74+AE74*AG75</f>
        <v>-1225.3104306085443</v>
      </c>
      <c r="AK74" s="296" t="s">
        <v>371</v>
      </c>
      <c r="AL74" s="293">
        <f>ABS((Z74*AG70+AA74*AG71+AB74*AG72+AC74*AG73+AD74*AG74+AE74*AG75)/((2*$B$7*$B$8)+($B$9*B12)))</f>
        <v>5.5695928664024743</v>
      </c>
      <c r="AM74" s="294" t="str">
        <f t="shared" si="14"/>
        <v>&lt;</v>
      </c>
      <c r="AN74" s="295">
        <f>$H$28</f>
        <v>960</v>
      </c>
      <c r="AO74" s="298" t="s">
        <v>374</v>
      </c>
      <c r="AP74" s="295">
        <f>((ABS((Z74*AG70+AA74*AG71+AB74*AG72+AC74*AG73+AD74*AG74+AE74*AG75)/((2*$B$7*$B$8)+($B$9*B12))))/$H$28)</f>
        <v>5.8016592358359105E-3</v>
      </c>
      <c r="AQ74" s="294" t="str">
        <f t="shared" si="15"/>
        <v>&lt;</v>
      </c>
      <c r="AR74" s="295">
        <v>1</v>
      </c>
      <c r="AX74">
        <f t="shared" si="16"/>
        <v>11</v>
      </c>
      <c r="AY74">
        <f>AX74*1000+AY69</f>
        <v>11007</v>
      </c>
      <c r="AZ74">
        <f>AX74*1000+AZ69</f>
        <v>11008</v>
      </c>
      <c r="BA74">
        <f>AX74*1000+BA69</f>
        <v>11009</v>
      </c>
      <c r="BB74">
        <f>AX74*1000+BB69</f>
        <v>11010</v>
      </c>
      <c r="BC74">
        <f>AX74*1000+BC69</f>
        <v>11011</v>
      </c>
      <c r="BD74">
        <f>AX74*1000+BD69</f>
        <v>11012</v>
      </c>
    </row>
    <row r="75" spans="1:56" ht="15.75" thickBot="1" x14ac:dyDescent="0.3">
      <c r="A75" s="261">
        <f>-J67*B68</f>
        <v>-128511600</v>
      </c>
      <c r="B75" s="262">
        <f>J67*B67</f>
        <v>0</v>
      </c>
      <c r="C75" s="262">
        <f>H68</f>
        <v>4283720000</v>
      </c>
      <c r="D75" s="262">
        <f>J67*B68</f>
        <v>128511600</v>
      </c>
      <c r="E75" s="262">
        <f>-J67*B67</f>
        <v>0</v>
      </c>
      <c r="F75" s="263">
        <f>H67</f>
        <v>8567440000</v>
      </c>
      <c r="G75" s="262">
        <v>12</v>
      </c>
      <c r="H75" s="264"/>
      <c r="I75" s="264"/>
      <c r="J75" s="265"/>
      <c r="K75" s="193"/>
      <c r="L75" s="254">
        <v>0</v>
      </c>
      <c r="M75" s="254">
        <f>J67</f>
        <v>128511600</v>
      </c>
      <c r="N75" s="254">
        <f>H68</f>
        <v>4283720000</v>
      </c>
      <c r="O75" s="254">
        <v>0</v>
      </c>
      <c r="P75" s="254">
        <f>-J67</f>
        <v>-128511600</v>
      </c>
      <c r="Q75" s="255">
        <f>H67</f>
        <v>8567440000</v>
      </c>
      <c r="R75" s="193"/>
      <c r="S75" s="256">
        <v>0</v>
      </c>
      <c r="T75" s="254">
        <v>0</v>
      </c>
      <c r="U75" s="254">
        <v>0</v>
      </c>
      <c r="V75" s="254">
        <v>0</v>
      </c>
      <c r="W75" s="254">
        <v>0</v>
      </c>
      <c r="X75" s="255">
        <v>1</v>
      </c>
      <c r="Y75" s="193"/>
      <c r="Z75" s="254">
        <f>L75*S70+M75*S71+N75*S72+O75*S73+P75*S74+Q75*S75</f>
        <v>-128511600</v>
      </c>
      <c r="AA75" s="254">
        <f>L75*T70+M75*T71+N75*T72+O75*T73+P75*T74+Q75*T75</f>
        <v>0</v>
      </c>
      <c r="AB75" s="254">
        <f>L75*U70+M75*U71+N75*U72+O75*U73+P75*U74+Q75*U75</f>
        <v>4283720000</v>
      </c>
      <c r="AC75" s="254">
        <f>L75*V70+M75*V71+N75*V72+O75*V73+P75*V74+Q75*V75</f>
        <v>128511600</v>
      </c>
      <c r="AD75" s="254">
        <f>L75*W70+M75*W71+N75*W72+O75*W73+P75*W74+Q75*W75</f>
        <v>0</v>
      </c>
      <c r="AE75" s="255">
        <f>L75*X70+M75*X71+N75*X72+O75*X73+P75*X74+Q75*X75</f>
        <v>8567440000</v>
      </c>
      <c r="AF75" s="193"/>
      <c r="AG75" s="257">
        <f t="shared" si="13"/>
        <v>-1.1987398855558078E-3</v>
      </c>
      <c r="AH75" s="257"/>
      <c r="AI75" s="257">
        <f>Z75*AG70+AA75*AG71+AB75*AG72+AC75*AG73+AD75*AG74+AE75*AG75</f>
        <v>367593.12918257341</v>
      </c>
      <c r="AK75" s="296" t="s">
        <v>372</v>
      </c>
      <c r="AL75" s="293">
        <f>ABS((Z75*AG70+AA75*AG71+AB75*AG72+AC75*AG73+AD75*AG74+AE75*AG75)*($B$8+0.5*B12)/(2*((($B$7*($B$8)^3)/12)+($B$7*$B$8)*(B12+2*$B$8-0.5*$B$8-($B$8+0.5*B12))^2)+($B$9*(B12)^3)/12))</f>
        <v>97.310423765567833</v>
      </c>
      <c r="AM75" s="294" t="str">
        <f t="shared" si="14"/>
        <v>&lt;</v>
      </c>
      <c r="AN75" s="295">
        <f>$J$28</f>
        <v>1440</v>
      </c>
      <c r="AO75" s="298" t="s">
        <v>373</v>
      </c>
      <c r="AP75" s="305">
        <f>((ABS((Z73*AG70+AA73*AG71+AB73*AG72+AC73*AG73+AD73*AG74+AE73*AG75)/((2*$B$7*$B$8)+($B$9*B12))))/$F$28)+((ABS((Z75*AG70+AA75*AG71+AB75*AG72+AC75*AG73+AD75*AG74+AE75*AG75)*($B$8+0.5*B12)/(2*((($B$7*($B$8)^3)/12)+($B$7*$B$8)*(B12+2*$B$8-0.5*$B$8-($B$8+0.5*B12))^2)+($B$9*(B12)^3)/12)))/$J$28)</f>
        <v>7.2903387715990003E-2</v>
      </c>
      <c r="AQ75" s="294" t="str">
        <f t="shared" si="15"/>
        <v>&lt;</v>
      </c>
      <c r="AR75" s="295">
        <v>1</v>
      </c>
      <c r="AX75">
        <f t="shared" si="16"/>
        <v>12</v>
      </c>
      <c r="AY75">
        <f>AX75*1000+AY69</f>
        <v>12007</v>
      </c>
      <c r="AZ75">
        <f>AX75*1000+AZ69</f>
        <v>12008</v>
      </c>
      <c r="BA75">
        <f>AX75*1000+BA69</f>
        <v>12009</v>
      </c>
      <c r="BB75">
        <f>AX75*1000+BB69</f>
        <v>12010</v>
      </c>
      <c r="BC75">
        <f>AX75*1000+BC69</f>
        <v>12011</v>
      </c>
      <c r="BD75">
        <f>AX75*1000+BD69</f>
        <v>12012</v>
      </c>
    </row>
    <row r="76" spans="1:56" x14ac:dyDescent="0.25">
      <c r="A76" s="239" t="s">
        <v>279</v>
      </c>
      <c r="B76" s="240">
        <f>(D35-B35)/F35</f>
        <v>0</v>
      </c>
      <c r="C76" s="241" t="s">
        <v>280</v>
      </c>
      <c r="D76" s="240">
        <f>$B$8+0.5*B13</f>
        <v>32</v>
      </c>
      <c r="E76" s="241" t="s">
        <v>30</v>
      </c>
      <c r="F76" s="242">
        <f>2*((($B$7*($B$8)^3)/12)+($B$7*$B$8)*(B13+2*$B$8-0.5*$B$8-($B$8+0.5*B13))^2)+($B$9*(B13)^3)/12</f>
        <v>151360</v>
      </c>
      <c r="G76" s="241" t="s">
        <v>281</v>
      </c>
      <c r="H76" s="241">
        <f>4*$B$28*(2*((($B$7*($B$8)^3)/12)+($B$7*$B$8)*(B13+2*$B$8-0.5*$B$8-($B$8+0.5*B13))^2)+($B$9*(B13)^3)/12)/F35</f>
        <v>12714240000</v>
      </c>
      <c r="I76" s="241" t="s">
        <v>282</v>
      </c>
      <c r="J76" s="243">
        <f>6*$B$28*(2*((($B$7*($B$8)^3)/12)+($B$7*$B$8)*(B13+2*$B$8-0.5*$B$8-($B$8+0.5*B13))^2)+($B$9*(B13)^3)/12)/(F35^2)</f>
        <v>190713600</v>
      </c>
      <c r="AG76" s="254"/>
      <c r="AH76" s="254"/>
      <c r="AI76" s="254"/>
    </row>
    <row r="77" spans="1:56" x14ac:dyDescent="0.25">
      <c r="A77" s="244" t="s">
        <v>283</v>
      </c>
      <c r="B77" s="245">
        <f>(E35-C35)/F35</f>
        <v>1</v>
      </c>
      <c r="C77" s="246" t="s">
        <v>13</v>
      </c>
      <c r="D77" s="247">
        <f>(2*$B$7*$B$8)+($B$9*B13)</f>
        <v>240</v>
      </c>
      <c r="E77" s="246" t="s">
        <v>284</v>
      </c>
      <c r="F77" s="246">
        <f>$B$28*((2*$B$7*$B$8)+($B$9*B13))/F35</f>
        <v>5040000</v>
      </c>
      <c r="G77" s="246" t="s">
        <v>285</v>
      </c>
      <c r="H77" s="246">
        <f>2*$B$28*(2*((($B$7*($B$8)^3)/12)+($B$7*$B$8)*(B13+2*$B$8-0.5*$B$8-($B$8+0.5*B13))^2)+($B$9*(B13)^3)/12)/F35</f>
        <v>6357120000</v>
      </c>
      <c r="I77" s="246" t="s">
        <v>286</v>
      </c>
      <c r="J77" s="248">
        <f>12*$B$28*(2*((($B$7*($B$8)^3)/12)+($B$7*$B$8)*(B13+2*$B$8-0.5*$B$8-($B$8+0.5*B13))^2)+($B$9*(B13)^3)/12)/(F35^3)</f>
        <v>3814272</v>
      </c>
      <c r="AG77" s="254"/>
      <c r="AH77" s="254"/>
      <c r="AI77" s="254"/>
    </row>
    <row r="78" spans="1:56" ht="15.75" thickBot="1" x14ac:dyDescent="0.3">
      <c r="A78" s="249">
        <f>G79</f>
        <v>10</v>
      </c>
      <c r="B78" s="245">
        <f>G80</f>
        <v>11</v>
      </c>
      <c r="C78" s="245">
        <f>G81</f>
        <v>12</v>
      </c>
      <c r="D78" s="245">
        <f>G82</f>
        <v>13</v>
      </c>
      <c r="E78" s="245">
        <f>G83</f>
        <v>14</v>
      </c>
      <c r="F78" s="245">
        <f>G84</f>
        <v>15</v>
      </c>
      <c r="G78" s="250"/>
      <c r="H78" s="246"/>
      <c r="I78" s="246"/>
      <c r="J78" s="251">
        <v>4</v>
      </c>
      <c r="AG78" s="254"/>
      <c r="AH78" s="254"/>
      <c r="AI78" s="254"/>
      <c r="AY78">
        <f>AX79</f>
        <v>10</v>
      </c>
      <c r="AZ78">
        <f>AX80</f>
        <v>11</v>
      </c>
      <c r="BA78">
        <f>AX81</f>
        <v>12</v>
      </c>
      <c r="BB78">
        <f>AX82</f>
        <v>13</v>
      </c>
      <c r="BC78">
        <f>AX83</f>
        <v>14</v>
      </c>
      <c r="BD78">
        <f>AX84</f>
        <v>15</v>
      </c>
    </row>
    <row r="79" spans="1:56" ht="15.75" thickBot="1" x14ac:dyDescent="0.3">
      <c r="A79" s="252">
        <f>(F77*B76^2+J77*B77^2)</f>
        <v>3814272</v>
      </c>
      <c r="B79" s="245">
        <f>(F77-J77)*B76*B77</f>
        <v>0</v>
      </c>
      <c r="C79" s="245">
        <f>-J76*B77</f>
        <v>-190713600</v>
      </c>
      <c r="D79" s="245">
        <f>-(F77*B76^2+J77*B77^2)</f>
        <v>-3814272</v>
      </c>
      <c r="E79" s="245">
        <f>-(F77-J77)*B76*B77</f>
        <v>0</v>
      </c>
      <c r="F79" s="245">
        <f>-J76*B77</f>
        <v>-190713600</v>
      </c>
      <c r="G79" s="245">
        <v>10</v>
      </c>
      <c r="H79" s="246"/>
      <c r="I79" s="250"/>
      <c r="J79" s="253"/>
      <c r="K79" s="193"/>
      <c r="L79" s="254">
        <f>F77</f>
        <v>5040000</v>
      </c>
      <c r="M79" s="254">
        <v>0</v>
      </c>
      <c r="N79" s="254">
        <v>0</v>
      </c>
      <c r="O79" s="254">
        <f>-F77</f>
        <v>-5040000</v>
      </c>
      <c r="P79" s="254">
        <v>0</v>
      </c>
      <c r="Q79" s="255">
        <v>0</v>
      </c>
      <c r="R79" s="193"/>
      <c r="S79" s="256">
        <f>B76</f>
        <v>0</v>
      </c>
      <c r="T79" s="254">
        <f>B77</f>
        <v>1</v>
      </c>
      <c r="U79" s="254">
        <v>0</v>
      </c>
      <c r="V79" s="254">
        <v>0</v>
      </c>
      <c r="W79" s="254">
        <v>0</v>
      </c>
      <c r="X79" s="255">
        <v>0</v>
      </c>
      <c r="Y79" s="193"/>
      <c r="Z79" s="254">
        <f>L79*S79+M79*S80+N79*S81+O79*S82+P79*S83+Q79*S84</f>
        <v>0</v>
      </c>
      <c r="AA79" s="254">
        <f>L79*T79+M79*T80+N79*T81+O79*T82+P79*T83+Q79*T84</f>
        <v>5040000</v>
      </c>
      <c r="AB79" s="254">
        <f>L79*U79+M79*U80+N79*U81+O79*U82+P79*U83+Q79*U84</f>
        <v>0</v>
      </c>
      <c r="AC79" s="254">
        <f>L79*V79+M79*V80+N79*V81+O79*V82+P79*V83+Q79*V84</f>
        <v>0</v>
      </c>
      <c r="AD79" s="254">
        <f>L79*W79+M79*W80+N79*W81+O79*W82+P79*W83+Q79*W84</f>
        <v>-5040000</v>
      </c>
      <c r="AE79" s="255">
        <f>L79*X79+M79*X80+N79*X81+O79*X82+P79*X83+Q79*X84</f>
        <v>0</v>
      </c>
      <c r="AF79" s="193"/>
      <c r="AG79" s="257">
        <f t="shared" ref="AG79:AG84" si="17">G14</f>
        <v>0.42276711312298026</v>
      </c>
      <c r="AH79" s="257"/>
      <c r="AI79" s="257">
        <f>Z79*AG79+AA79*AG80+AB79*AG81+AC79*AG82+AD79*AG83+AE79*AG84</f>
        <v>-1687.5000000007103</v>
      </c>
      <c r="AK79" s="296" t="s">
        <v>367</v>
      </c>
      <c r="AL79" s="293">
        <f>ABS((Z79*AG79+AA79*AG80+AB79*AG81+AC79*AG82+AD79*AG83+AE79*AG84)/((2*$B$7*$B$8)+($B$9*B13)))</f>
        <v>7.0312500000029594</v>
      </c>
      <c r="AM79" s="294" t="str">
        <f t="shared" ref="AM79:AM84" si="18">IF(AL79&gt;AN79,"&gt;",IF(AL79&lt;AN79,"&lt;",))</f>
        <v>&lt;</v>
      </c>
      <c r="AN79" s="295">
        <f>$F$28</f>
        <v>1440</v>
      </c>
      <c r="AO79" s="298" t="s">
        <v>379</v>
      </c>
      <c r="AP79" s="295">
        <f>(ABS((Z79*AG79+AA79*AG80+AB79*AG81+AC79*AG82+AD79*AG83+AE79*AG84)/((2*$B$7*$B$8)+($B$9*B13))))/$F$28</f>
        <v>4.8828125000020548E-3</v>
      </c>
      <c r="AQ79" s="294" t="str">
        <f t="shared" ref="AQ79:AQ84" si="19">IF(AP79&gt;AR79,"&gt;",IF(AP79&lt;AR79,"&lt;",))</f>
        <v>&lt;</v>
      </c>
      <c r="AR79" s="295">
        <v>0.15</v>
      </c>
      <c r="AX79">
        <f t="shared" ref="AX79:AX84" si="20">G79</f>
        <v>10</v>
      </c>
      <c r="AY79">
        <f>AX79*1000+AY78</f>
        <v>10010</v>
      </c>
      <c r="AZ79">
        <f>AX79*1000+AZ78</f>
        <v>10011</v>
      </c>
      <c r="BA79">
        <f>AX79*1000+BA78</f>
        <v>10012</v>
      </c>
      <c r="BB79">
        <f>AX79*1000+BB78</f>
        <v>10013</v>
      </c>
      <c r="BC79">
        <f>AX79*1000+BC78</f>
        <v>10014</v>
      </c>
      <c r="BD79">
        <f>AX79*1000+BD78</f>
        <v>10015</v>
      </c>
    </row>
    <row r="80" spans="1:56" ht="15.75" thickBot="1" x14ac:dyDescent="0.3">
      <c r="A80" s="249">
        <f>(F77-J77)*B76*B77</f>
        <v>0</v>
      </c>
      <c r="B80" s="258">
        <f>(F77*B77^2+J77*B76^2)</f>
        <v>5040000</v>
      </c>
      <c r="C80" s="245">
        <f>J76*B76</f>
        <v>0</v>
      </c>
      <c r="D80" s="245">
        <f>-(F77-J77)*B76*B77</f>
        <v>0</v>
      </c>
      <c r="E80" s="245">
        <f>-(F77*B77^2+J77*B76^2)</f>
        <v>-5040000</v>
      </c>
      <c r="F80" s="245">
        <f>J76*B76</f>
        <v>0</v>
      </c>
      <c r="G80" s="245">
        <v>11</v>
      </c>
      <c r="H80" s="246"/>
      <c r="I80" s="246"/>
      <c r="J80" s="253"/>
      <c r="K80" s="193"/>
      <c r="L80" s="254">
        <v>0</v>
      </c>
      <c r="M80" s="254">
        <f>J77</f>
        <v>3814272</v>
      </c>
      <c r="N80" s="254">
        <f>J76</f>
        <v>190713600</v>
      </c>
      <c r="O80" s="254">
        <v>0</v>
      </c>
      <c r="P80" s="254">
        <f>-J77</f>
        <v>-3814272</v>
      </c>
      <c r="Q80" s="255">
        <f>J76</f>
        <v>190713600</v>
      </c>
      <c r="R80" s="193"/>
      <c r="S80" s="256">
        <f>-B77</f>
        <v>-1</v>
      </c>
      <c r="T80" s="254">
        <f>B76</f>
        <v>0</v>
      </c>
      <c r="U80" s="254">
        <v>0</v>
      </c>
      <c r="V80" s="254">
        <v>0</v>
      </c>
      <c r="W80" s="254">
        <v>0</v>
      </c>
      <c r="X80" s="255">
        <v>0</v>
      </c>
      <c r="Y80" s="193"/>
      <c r="Z80" s="254">
        <f>L80*S79+M80*S80+N80*S81+O80*S82+P80*S83+Q80*S84</f>
        <v>-3814272</v>
      </c>
      <c r="AA80" s="254">
        <f>L80*T79+M80*T80+N80*T81+O80*T82+P80*T83+Q80*T84</f>
        <v>0</v>
      </c>
      <c r="AB80" s="254">
        <f>L80*U79+M80*U80+N80*U81+O80*U82+P80*U83+Q80*U84</f>
        <v>190713600</v>
      </c>
      <c r="AC80" s="254">
        <f>L80*V79+M80*V80+N80*V81+O80*V82+P80*V83+Q80*V84</f>
        <v>3814272</v>
      </c>
      <c r="AD80" s="254">
        <f>L80*W79+M80*W80+N80*W81+O80*W82+P80*W83+Q80*W84</f>
        <v>0</v>
      </c>
      <c r="AE80" s="255">
        <f>L80*X79+M80*X80+N80*X81+O80*X82+P80*X83+Q80*X84</f>
        <v>190713600</v>
      </c>
      <c r="AF80" s="193"/>
      <c r="AG80" s="257">
        <f t="shared" si="17"/>
        <v>1.2134740259745372E-3</v>
      </c>
      <c r="AH80" s="257"/>
      <c r="AI80" s="257">
        <f>Z80*AG79+AA80*AG80+AB80*AG81+AC80*AG82+AD80*AG83+AE80*AG84</f>
        <v>1225.3104306086607</v>
      </c>
      <c r="AK80" s="296" t="s">
        <v>368</v>
      </c>
      <c r="AL80" s="293">
        <f>ABS((Z80*AG79+AA80*AG80+AB80*AG81+AC80*AG82+AD80*AG83+AE80*AG84)/((2*$B$7*$B$8)+($B$9*B13)))</f>
        <v>5.1054601275360865</v>
      </c>
      <c r="AM80" s="294" t="str">
        <f t="shared" si="18"/>
        <v>&lt;</v>
      </c>
      <c r="AN80" s="295">
        <f>$H$28</f>
        <v>960</v>
      </c>
      <c r="AO80" s="298" t="s">
        <v>374</v>
      </c>
      <c r="AP80" s="295">
        <f>((ABS((Z80*AG79+AA80*AG80+AB80*AG81+AC80*AG82+AD80*AG83+AE80*AG84)/((2*$B$7*$B$8)+($B$9*B13))))/$H$28)</f>
        <v>5.3181876328500903E-3</v>
      </c>
      <c r="AQ80" s="294" t="str">
        <f t="shared" si="19"/>
        <v>&lt;</v>
      </c>
      <c r="AR80" s="295">
        <v>1</v>
      </c>
      <c r="AX80">
        <f t="shared" si="20"/>
        <v>11</v>
      </c>
      <c r="AY80">
        <f>AX80*1000+AY78</f>
        <v>11010</v>
      </c>
      <c r="AZ80">
        <f>AX80*1000+AZ78</f>
        <v>11011</v>
      </c>
      <c r="BA80">
        <f>AX80*1000+BA78</f>
        <v>11012</v>
      </c>
      <c r="BB80">
        <f>AX80*1000+BB78</f>
        <v>11013</v>
      </c>
      <c r="BC80">
        <f>AX80*1000+BC78</f>
        <v>11014</v>
      </c>
      <c r="BD80">
        <f>AX80*1000+BD78</f>
        <v>11015</v>
      </c>
    </row>
    <row r="81" spans="1:56" ht="15.75" thickBot="1" x14ac:dyDescent="0.3">
      <c r="A81" s="249">
        <f>-J76*B77</f>
        <v>-190713600</v>
      </c>
      <c r="B81" s="245">
        <f>J76*B76</f>
        <v>0</v>
      </c>
      <c r="C81" s="258">
        <f>H76</f>
        <v>12714240000</v>
      </c>
      <c r="D81" s="245">
        <f>J76*B77</f>
        <v>190713600</v>
      </c>
      <c r="E81" s="245">
        <f>-J76*B76</f>
        <v>0</v>
      </c>
      <c r="F81" s="245">
        <f>H77</f>
        <v>6357120000</v>
      </c>
      <c r="G81" s="245">
        <v>12</v>
      </c>
      <c r="H81" s="246"/>
      <c r="I81" s="246"/>
      <c r="J81" s="253"/>
      <c r="K81" s="193"/>
      <c r="L81" s="254">
        <v>0</v>
      </c>
      <c r="M81" s="254">
        <f>J76</f>
        <v>190713600</v>
      </c>
      <c r="N81" s="254">
        <f>H76</f>
        <v>12714240000</v>
      </c>
      <c r="O81" s="254">
        <v>0</v>
      </c>
      <c r="P81" s="254">
        <f>-J76</f>
        <v>-190713600</v>
      </c>
      <c r="Q81" s="255">
        <f>H77</f>
        <v>6357120000</v>
      </c>
      <c r="R81" s="193"/>
      <c r="S81" s="256">
        <v>0</v>
      </c>
      <c r="T81" s="254">
        <v>0</v>
      </c>
      <c r="U81" s="254">
        <v>1</v>
      </c>
      <c r="V81" s="254">
        <v>0</v>
      </c>
      <c r="W81" s="254">
        <v>0</v>
      </c>
      <c r="X81" s="255">
        <v>0</v>
      </c>
      <c r="Y81" s="193"/>
      <c r="Z81" s="254">
        <f>L81*S79+M81*S80+N81*S81+O81*S82+P81*S83+Q81*S84</f>
        <v>-190713600</v>
      </c>
      <c r="AA81" s="254">
        <f>L81*T79+M81*T80+N81*T81+O81*T82+P81*T83+Q81*T84</f>
        <v>0</v>
      </c>
      <c r="AB81" s="254">
        <f>L81*U79+M81*U80+N81*U81+O81*U82+P81*U83+Q81*U84</f>
        <v>12714240000</v>
      </c>
      <c r="AC81" s="254">
        <f>L81*V79+M81*V80+N81*V81+O81*V82+P81*V83+Q81*V84</f>
        <v>190713600</v>
      </c>
      <c r="AD81" s="254">
        <f>L81*W79+M81*W80+N81*W81+O81*W82+P81*W83+Q81*W84</f>
        <v>0</v>
      </c>
      <c r="AE81" s="255">
        <f>L81*X79+M81*X80+N81*X81+O81*X82+P81*X83+Q81*X84</f>
        <v>6357120000</v>
      </c>
      <c r="AF81" s="193"/>
      <c r="AG81" s="257">
        <f t="shared" si="17"/>
        <v>-1.1987398855558078E-3</v>
      </c>
      <c r="AH81" s="257"/>
      <c r="AI81" s="257">
        <f>Z81*AG79+AA81*AG80+AB81*AG81+AC81*AG82+AD81*AG83+AE81*AG84</f>
        <v>-367593.12918259203</v>
      </c>
      <c r="AK81" s="296" t="s">
        <v>369</v>
      </c>
      <c r="AL81" s="293">
        <f>ABS((Z81*AG79+AA81*AG80+AB81*AG81+AC81*AG82+AD81*AG83+AE81*AG84)*($B$8+0.5*B13)/(2*((($B$7*($B$8)^3)/12)+($B$7*$B$8)*(B13+2*$B$8-0.5*$B$8-($B$8+0.5*B13))^2)+($B$9*(B13)^3)/12))</f>
        <v>77.715249298645247</v>
      </c>
      <c r="AM81" s="294" t="str">
        <f t="shared" si="18"/>
        <v>&lt;</v>
      </c>
      <c r="AN81" s="295">
        <f>$J$28</f>
        <v>1440</v>
      </c>
      <c r="AO81" s="298" t="s">
        <v>373</v>
      </c>
      <c r="AP81" s="305">
        <f>((ABS((Z79*AG79+AA79*AG80+AB79*AG81+AC79*AG82+AD79*AG83+AE79*AG84)/((2*$B$7*$B$8)+($B$9*B13))))/$F$28)+((ABS((Z81*AG79+AA81*AG80+AB81*AG81+AC81*AG82+AD81*AG83+AE81*AG84)*($B$8+0.5*B13)/(2*((($B$7*($B$8)^3)/12)+($B$7*$B$8)*(B13+2*$B$8-0.5*$B$8-($B$8+0.5*B13))^2)+($B$9*(B13)^3)/12)))/$J$28)</f>
        <v>5.8851735624061256E-2</v>
      </c>
      <c r="AQ81" s="294" t="str">
        <f t="shared" si="19"/>
        <v>&lt;</v>
      </c>
      <c r="AR81" s="295">
        <v>1</v>
      </c>
      <c r="AX81">
        <f t="shared" si="20"/>
        <v>12</v>
      </c>
      <c r="AY81">
        <f>AX81*1000+AY78</f>
        <v>12010</v>
      </c>
      <c r="AZ81">
        <f>AX81*1000+AZ78</f>
        <v>12011</v>
      </c>
      <c r="BA81">
        <f>AX81*1000+BA78</f>
        <v>12012</v>
      </c>
      <c r="BB81">
        <f>AX81*1000+BB78</f>
        <v>12013</v>
      </c>
      <c r="BC81">
        <f>AX81*1000+BC78</f>
        <v>12014</v>
      </c>
      <c r="BD81">
        <f>AX81*1000+BD78</f>
        <v>12015</v>
      </c>
    </row>
    <row r="82" spans="1:56" ht="16.5" thickBot="1" x14ac:dyDescent="0.3">
      <c r="A82" s="249">
        <f>-(F77*B76^2+J77*B77^2)</f>
        <v>-3814272</v>
      </c>
      <c r="B82" s="245">
        <f>-(F77-J77)*B76*B77</f>
        <v>0</v>
      </c>
      <c r="C82" s="245">
        <f>J76*B77</f>
        <v>190713600</v>
      </c>
      <c r="D82" s="258">
        <f>(F77*B76^2+J77*B77^2)</f>
        <v>3814272</v>
      </c>
      <c r="E82" s="245">
        <f>(F77-J77)*B76*B77</f>
        <v>0</v>
      </c>
      <c r="F82" s="245">
        <f>J76*B77</f>
        <v>190713600</v>
      </c>
      <c r="G82" s="245">
        <v>13</v>
      </c>
      <c r="H82" s="246"/>
      <c r="I82" s="246"/>
      <c r="J82" s="253"/>
      <c r="K82" s="193"/>
      <c r="L82" s="254">
        <f>-F77</f>
        <v>-5040000</v>
      </c>
      <c r="M82" s="254">
        <v>0</v>
      </c>
      <c r="N82" s="254">
        <v>0</v>
      </c>
      <c r="O82" s="254">
        <f>F77</f>
        <v>5040000</v>
      </c>
      <c r="P82" s="254">
        <v>0</v>
      </c>
      <c r="Q82" s="255">
        <v>0</v>
      </c>
      <c r="R82" s="259" t="s">
        <v>287</v>
      </c>
      <c r="S82" s="256">
        <v>0</v>
      </c>
      <c r="T82" s="254">
        <v>0</v>
      </c>
      <c r="U82" s="254">
        <v>0</v>
      </c>
      <c r="V82" s="254">
        <f>B76</f>
        <v>0</v>
      </c>
      <c r="W82" s="254">
        <f>B77</f>
        <v>1</v>
      </c>
      <c r="X82" s="255">
        <v>0</v>
      </c>
      <c r="Y82" s="260" t="s">
        <v>127</v>
      </c>
      <c r="Z82" s="254">
        <f>L82*S79+M82*S80+N82*S81+O82*S82+P82*S83+Q82*S84</f>
        <v>0</v>
      </c>
      <c r="AA82" s="254">
        <f>L82*T79+M82*T80+N82*T81+O82*T82+P82*T83+Q82*T84</f>
        <v>-5040000</v>
      </c>
      <c r="AB82" s="254">
        <f>L82*U79+M82*U80+N82*U81+O82*U82+P82*U83+Q82*U84</f>
        <v>0</v>
      </c>
      <c r="AC82" s="254">
        <f>L82*V79+M82*V80+N82*V81+O82*V82+P82*V83+Q82*V84</f>
        <v>0</v>
      </c>
      <c r="AD82" s="254">
        <f>L82*W79+M82*W80+N82*W81+O82*W82+P82*W83+Q82*W84</f>
        <v>5040000</v>
      </c>
      <c r="AE82" s="255">
        <f>L82*X79+M82*X80+N82*X81+O82*X82+P82*X83+Q82*X84</f>
        <v>0</v>
      </c>
      <c r="AF82" s="259" t="s">
        <v>287</v>
      </c>
      <c r="AG82" s="257">
        <f t="shared" si="17"/>
        <v>0.53621622987807804</v>
      </c>
      <c r="AH82" s="259" t="s">
        <v>127</v>
      </c>
      <c r="AI82" s="257">
        <f>Z82*AG79+AA82*AG80+AB82*AG81+AC82*AG82+AD82*AG83+AE82*AG84</f>
        <v>1687.5000000007103</v>
      </c>
      <c r="AK82" s="296" t="s">
        <v>370</v>
      </c>
      <c r="AL82" s="293">
        <f>ABS((Z82*AG79+AA82*AG80+AB82*AG81+AC82*AG82+AD82*AG83+AE82*AG84)/((2*$B$7*$B$8)+($B$9*B13)))</f>
        <v>7.0312500000029594</v>
      </c>
      <c r="AM82" s="294" t="str">
        <f t="shared" si="18"/>
        <v>&lt;</v>
      </c>
      <c r="AN82" s="295">
        <f>$F$28</f>
        <v>1440</v>
      </c>
      <c r="AO82" s="298" t="s">
        <v>378</v>
      </c>
      <c r="AP82" s="295">
        <f>(B13)/$B$9</f>
        <v>30</v>
      </c>
      <c r="AQ82" s="294" t="str">
        <f t="shared" si="19"/>
        <v>&lt;</v>
      </c>
      <c r="AR82" s="295">
        <f>6370/($J$28)^0.5</f>
        <v>167.86423912727147</v>
      </c>
      <c r="AX82">
        <f t="shared" si="20"/>
        <v>13</v>
      </c>
      <c r="AY82">
        <f>AX82*1000+AY78</f>
        <v>13010</v>
      </c>
      <c r="AZ82">
        <f>AX82*1000+AZ78</f>
        <v>13011</v>
      </c>
      <c r="BA82">
        <f>AX82*1000+BA78</f>
        <v>13012</v>
      </c>
      <c r="BB82">
        <f>AX82*1000+BB78</f>
        <v>13013</v>
      </c>
      <c r="BC82">
        <f>AX82*1000+BC78</f>
        <v>13014</v>
      </c>
      <c r="BD82">
        <f>AX82*1000+BD78</f>
        <v>13015</v>
      </c>
    </row>
    <row r="83" spans="1:56" ht="15.75" thickBot="1" x14ac:dyDescent="0.3">
      <c r="A83" s="249">
        <f>-(F77-J77)*B76*B77</f>
        <v>0</v>
      </c>
      <c r="B83" s="245">
        <f>-(F77*B77^2+J77*B76^2)</f>
        <v>-5040000</v>
      </c>
      <c r="C83" s="245">
        <f>-J76*B76</f>
        <v>0</v>
      </c>
      <c r="D83" s="245">
        <f>(F77-J77)*B76*B77</f>
        <v>0</v>
      </c>
      <c r="E83" s="258">
        <f>(F77*B77^2+J77*B76^2)</f>
        <v>5040000</v>
      </c>
      <c r="F83" s="245">
        <f>-J76*B76</f>
        <v>0</v>
      </c>
      <c r="G83" s="245">
        <v>14</v>
      </c>
      <c r="H83" s="246"/>
      <c r="I83" s="246"/>
      <c r="J83" s="253"/>
      <c r="K83" s="193"/>
      <c r="L83" s="254">
        <v>0</v>
      </c>
      <c r="M83" s="254">
        <f>-J77</f>
        <v>-3814272</v>
      </c>
      <c r="N83" s="254">
        <f>-J76</f>
        <v>-190713600</v>
      </c>
      <c r="O83" s="254">
        <v>0</v>
      </c>
      <c r="P83" s="254">
        <f>J77</f>
        <v>3814272</v>
      </c>
      <c r="Q83" s="255">
        <f>-J76</f>
        <v>-190713600</v>
      </c>
      <c r="R83" s="193"/>
      <c r="S83" s="256">
        <v>0</v>
      </c>
      <c r="T83" s="254">
        <v>0</v>
      </c>
      <c r="U83" s="254">
        <v>0</v>
      </c>
      <c r="V83" s="254">
        <f>-B77</f>
        <v>-1</v>
      </c>
      <c r="W83" s="254">
        <f>B76</f>
        <v>0</v>
      </c>
      <c r="X83" s="255">
        <v>0</v>
      </c>
      <c r="Y83" s="193"/>
      <c r="Z83" s="254">
        <f>L83*S79+M83*S80+N83*S81+O83*S82+P83*S83+Q83*S84</f>
        <v>3814272</v>
      </c>
      <c r="AA83" s="254">
        <f>L83*T79+M83*T80+N83*T81+O83*T82+P83*T83+Q83*T84</f>
        <v>0</v>
      </c>
      <c r="AB83" s="254">
        <f>L83*U79+M83*U80+N83*U81+O83*U82+P83*U83+Q83*U84</f>
        <v>-190713600</v>
      </c>
      <c r="AC83" s="254">
        <f>L83*V79+M83*V80+N83*V81+O83*V82+P83*V83+Q83*V84</f>
        <v>-3814272</v>
      </c>
      <c r="AD83" s="254">
        <f>L83*W79+M83*W80+N83*W81+O83*W82+P83*W83+Q83*W84</f>
        <v>0</v>
      </c>
      <c r="AE83" s="255">
        <f>L83*X79+M83*X80+N83*X81+O83*X82+P83*X83+Q83*X84</f>
        <v>-190713600</v>
      </c>
      <c r="AF83" s="193"/>
      <c r="AG83" s="257">
        <f t="shared" si="17"/>
        <v>1.5482954545461068E-3</v>
      </c>
      <c r="AH83" s="257"/>
      <c r="AI83" s="257">
        <f>Z83*AG79+AA83*AG80+AB83*AG81+AC83*AG82+AD83*AG83+AE83*AG84</f>
        <v>-1225.3104306086607</v>
      </c>
      <c r="AK83" s="296" t="s">
        <v>371</v>
      </c>
      <c r="AL83" s="293">
        <f>ABS((Z83*AG79+AA83*AG80+AB83*AG81+AC83*AG82+AD83*AG83+AE83*AG84)/((2*$B$7*$B$8)+($B$9*B13)))</f>
        <v>5.1054601275360865</v>
      </c>
      <c r="AM83" s="294" t="str">
        <f t="shared" si="18"/>
        <v>&lt;</v>
      </c>
      <c r="AN83" s="295">
        <f>$H$28</f>
        <v>960</v>
      </c>
      <c r="AO83" s="298" t="s">
        <v>374</v>
      </c>
      <c r="AP83" s="295">
        <f>((ABS((Z83*AG79+AA83*AG80+AB83*AG81+AC83*AG82+AD83*AG83+AE83*AG84)/((2*$B$7*$B$8)+($B$9*B13))))/$H$28)</f>
        <v>5.3181876328500903E-3</v>
      </c>
      <c r="AQ83" s="294" t="str">
        <f t="shared" si="19"/>
        <v>&lt;</v>
      </c>
      <c r="AR83" s="295">
        <v>1</v>
      </c>
      <c r="AX83">
        <f t="shared" si="20"/>
        <v>14</v>
      </c>
      <c r="AY83">
        <f>AX83*1000+AY78</f>
        <v>14010</v>
      </c>
      <c r="AZ83">
        <f>AX83*1000+AZ78</f>
        <v>14011</v>
      </c>
      <c r="BA83">
        <f>AX83*1000+BA78</f>
        <v>14012</v>
      </c>
      <c r="BB83">
        <f>AX83*1000+BB78</f>
        <v>14013</v>
      </c>
      <c r="BC83">
        <f>AX83*1000+BC78</f>
        <v>14014</v>
      </c>
      <c r="BD83">
        <f>AX83*1000+BD78</f>
        <v>14015</v>
      </c>
    </row>
    <row r="84" spans="1:56" ht="15.75" thickBot="1" x14ac:dyDescent="0.3">
      <c r="A84" s="261">
        <f>-J76*B77</f>
        <v>-190713600</v>
      </c>
      <c r="B84" s="262">
        <f>J76*B76</f>
        <v>0</v>
      </c>
      <c r="C84" s="262">
        <f>H77</f>
        <v>6357120000</v>
      </c>
      <c r="D84" s="262">
        <f>J76*B77</f>
        <v>190713600</v>
      </c>
      <c r="E84" s="262">
        <f>-J76*B76</f>
        <v>0</v>
      </c>
      <c r="F84" s="263">
        <f>H76</f>
        <v>12714240000</v>
      </c>
      <c r="G84" s="262">
        <v>15</v>
      </c>
      <c r="H84" s="264"/>
      <c r="I84" s="264"/>
      <c r="J84" s="265"/>
      <c r="K84" s="193"/>
      <c r="L84" s="254">
        <v>0</v>
      </c>
      <c r="M84" s="254">
        <f>J76</f>
        <v>190713600</v>
      </c>
      <c r="N84" s="254">
        <f>H77</f>
        <v>6357120000</v>
      </c>
      <c r="O84" s="254">
        <v>0</v>
      </c>
      <c r="P84" s="254">
        <f>-J76</f>
        <v>-190713600</v>
      </c>
      <c r="Q84" s="255">
        <f>H76</f>
        <v>12714240000</v>
      </c>
      <c r="R84" s="193"/>
      <c r="S84" s="256">
        <v>0</v>
      </c>
      <c r="T84" s="254">
        <v>0</v>
      </c>
      <c r="U84" s="254">
        <v>0</v>
      </c>
      <c r="V84" s="254">
        <v>0</v>
      </c>
      <c r="W84" s="254">
        <v>0</v>
      </c>
      <c r="X84" s="255">
        <v>1</v>
      </c>
      <c r="Y84" s="193"/>
      <c r="Z84" s="254">
        <f>L84*S79+M84*S80+N84*S81+O84*S82+P84*S83+Q84*S84</f>
        <v>-190713600</v>
      </c>
      <c r="AA84" s="254">
        <f>L84*T79+M84*T80+N84*T81+O84*T82+P84*T83+Q84*T84</f>
        <v>0</v>
      </c>
      <c r="AB84" s="254">
        <f>L84*U79+M84*U80+N84*U81+O84*U82+P84*U83+Q84*U84</f>
        <v>6357120000</v>
      </c>
      <c r="AC84" s="254">
        <f>L84*V79+M84*V80+N84*V81+O84*V82+P84*V83+Q84*V84</f>
        <v>190713600</v>
      </c>
      <c r="AD84" s="254">
        <f>L84*W79+M84*W80+N84*W81+O84*W82+P84*W83+Q84*W84</f>
        <v>0</v>
      </c>
      <c r="AE84" s="255">
        <f>L84*X79+M84*X80+N84*X81+O84*X82+P84*X83+Q84*X84</f>
        <v>12714240000</v>
      </c>
      <c r="AF84" s="193"/>
      <c r="AG84" s="257">
        <f t="shared" si="17"/>
        <v>-1.0638175777456641E-3</v>
      </c>
      <c r="AH84" s="257"/>
      <c r="AI84" s="257">
        <f>Z84*AG79+AA84*AG80+AB84*AG81+AC84*AG82+AD84*AG83+AE84*AG84</f>
        <v>490124.17224343121</v>
      </c>
      <c r="AK84" s="296" t="s">
        <v>372</v>
      </c>
      <c r="AL84" s="293">
        <f>ABS((Z84*AG79+AA84*AG80+AB84*AG81+AC84*AG82+AD84*AG83+AE84*AG84)*($B$8+0.5*B13)/(2*((($B$7*($B$8)^3)/12)+($B$7*$B$8)*(B13+2*$B$8-0.5*$B$8-($B$8+0.5*B13))^2)+($B$9*(B13)^3)/12))</f>
        <v>103.62033239818841</v>
      </c>
      <c r="AM84" s="294" t="str">
        <f t="shared" si="18"/>
        <v>&lt;</v>
      </c>
      <c r="AN84" s="295">
        <f>$J$28</f>
        <v>1440</v>
      </c>
      <c r="AO84" s="298" t="s">
        <v>373</v>
      </c>
      <c r="AP84" s="305">
        <f>((ABS((Z82*AG79+AA82*AG80+AB82*AG81+AC82*AG82+AD82*AG83+AE82*AG84)/((2*$B$7*$B$8)+($B$9*B13))))/$F$28)+((ABS((Z84*AG79+AA84*AG80+AB84*AG81+AC84*AG82+AD84*AG83+AE84*AG84)*($B$8+0.5*B13)/(2*((($B$7*($B$8)^3)/12)+($B$7*$B$8)*(B13+2*$B$8-0.5*$B$8-($B$8+0.5*B13))^2)+($B$9*(B13)^3)/12)))/$J$28)</f>
        <v>7.6841376665410674E-2</v>
      </c>
      <c r="AQ84" s="294" t="str">
        <f t="shared" si="19"/>
        <v>&lt;</v>
      </c>
      <c r="AR84" s="295">
        <v>1</v>
      </c>
      <c r="AX84">
        <f t="shared" si="20"/>
        <v>15</v>
      </c>
      <c r="AY84">
        <f>AX84*1000+AY78</f>
        <v>15010</v>
      </c>
      <c r="AZ84">
        <f>AX84*1000+AZ78</f>
        <v>15011</v>
      </c>
      <c r="BA84">
        <f>AX84*1000+BA78</f>
        <v>15012</v>
      </c>
      <c r="BB84">
        <f>AX84*1000+BB78</f>
        <v>15013</v>
      </c>
      <c r="BC84">
        <f>AX84*1000+BC78</f>
        <v>15014</v>
      </c>
      <c r="BD84">
        <f>AX84*1000+BD78</f>
        <v>15015</v>
      </c>
    </row>
    <row r="85" spans="1:56" x14ac:dyDescent="0.25">
      <c r="A85" s="239" t="s">
        <v>279</v>
      </c>
      <c r="B85" s="240">
        <f>(D36-B36)/F36</f>
        <v>0.97014250014533188</v>
      </c>
      <c r="C85" s="241" t="s">
        <v>280</v>
      </c>
      <c r="D85" s="240">
        <f>$B$8+0.5*B14</f>
        <v>17</v>
      </c>
      <c r="E85" s="241" t="s">
        <v>30</v>
      </c>
      <c r="F85" s="242">
        <f>2*((($B$7*($B$8)^3)/12)+($B$7*$B$8)*(B14+2*$B$8-0.5*$B$8-($B$8+0.5*B14))^2)+($B$9*(B14)^3)/12</f>
        <v>35260</v>
      </c>
      <c r="G85" s="241" t="s">
        <v>281</v>
      </c>
      <c r="H85" s="241">
        <f>4*$B$28*(2*((($B$7*($B$8)^3)/12)+($B$7*$B$8)*(B14+2*$B$8-0.5*$B$8-($B$8+0.5*B14))^2)+($B$9*(B14)^3)/12)/F36</f>
        <v>2873406862.6304498</v>
      </c>
      <c r="I85" s="241" t="s">
        <v>282</v>
      </c>
      <c r="J85" s="243">
        <f>6*$B$28*(2*((($B$7*($B$8)^3)/12)+($B$7*$B$8)*(B14+2*$B$8-0.5*$B$8-($B$8+0.5*B14))^2)+($B$9*(B14)^3)/12)/(F36^2)</f>
        <v>41814211.764705881</v>
      </c>
    </row>
    <row r="86" spans="1:56" x14ac:dyDescent="0.25">
      <c r="A86" s="244" t="s">
        <v>283</v>
      </c>
      <c r="B86" s="245">
        <f>(E36-C36)/F36</f>
        <v>0.24253562503633297</v>
      </c>
      <c r="C86" s="246" t="s">
        <v>13</v>
      </c>
      <c r="D86" s="247">
        <f>(2*$B$7*$B$8)+($B$9*B14)</f>
        <v>180</v>
      </c>
      <c r="E86" s="246" t="s">
        <v>284</v>
      </c>
      <c r="F86" s="246">
        <f>$B$28*((2*$B$7*$B$8)+($B$9*B14))/F36</f>
        <v>3667138.6505493545</v>
      </c>
      <c r="G86" s="246" t="s">
        <v>285</v>
      </c>
      <c r="H86" s="246">
        <f>2*$B$28*(2*((($B$7*($B$8)^3)/12)+($B$7*$B$8)*(B14+2*$B$8-0.5*$B$8-($B$8+0.5*B14))^2)+($B$9*(B14)^3)/12)/F36</f>
        <v>1436703431.3152249</v>
      </c>
      <c r="I86" s="246" t="s">
        <v>286</v>
      </c>
      <c r="J86" s="248">
        <f>12*$B$28*(2*((($B$7*($B$8)^3)/12)+($B$7*$B$8)*(B14+2*$B$8-0.5*$B$8-($B$8+0.5*B14))^2)+($B$9*(B14)^3)/12)/(F36^3)</f>
        <v>811314.87886036222</v>
      </c>
    </row>
    <row r="87" spans="1:56" ht="15.75" thickBot="1" x14ac:dyDescent="0.3">
      <c r="A87" s="249">
        <f>G88</f>
        <v>13</v>
      </c>
      <c r="B87" s="245">
        <f>G89</f>
        <v>14</v>
      </c>
      <c r="C87" s="245">
        <f>G90</f>
        <v>15</v>
      </c>
      <c r="D87" s="245">
        <f>G91</f>
        <v>16</v>
      </c>
      <c r="E87" s="245">
        <f>G92</f>
        <v>17</v>
      </c>
      <c r="F87" s="245">
        <f>G93</f>
        <v>18</v>
      </c>
      <c r="G87" s="250"/>
      <c r="H87" s="246"/>
      <c r="I87" s="246"/>
      <c r="J87" s="251">
        <v>5</v>
      </c>
      <c r="AY87">
        <f>AX88</f>
        <v>13</v>
      </c>
      <c r="AZ87">
        <f>AX89</f>
        <v>14</v>
      </c>
      <c r="BA87">
        <f>AX90</f>
        <v>15</v>
      </c>
      <c r="BB87">
        <f>AX91</f>
        <v>16</v>
      </c>
      <c r="BC87">
        <f>AX92</f>
        <v>17</v>
      </c>
      <c r="BD87">
        <f>AX93</f>
        <v>18</v>
      </c>
    </row>
    <row r="88" spans="1:56" ht="15.75" thickBot="1" x14ac:dyDescent="0.3">
      <c r="A88" s="252">
        <f>(F86*B85^2+J86*B86^2)</f>
        <v>3499149.0169205903</v>
      </c>
      <c r="B88" s="245">
        <f>(F86-J86)*B85*B86</f>
        <v>671958.53451505699</v>
      </c>
      <c r="C88" s="245">
        <f>-J85*B86</f>
        <v>-10141435.985754529</v>
      </c>
      <c r="D88" s="245">
        <f>-(F86*B85^2+J86*B86^2)</f>
        <v>-3499149.0169205903</v>
      </c>
      <c r="E88" s="245">
        <f>-(F86-J86)*B85*B86</f>
        <v>-671958.53451505699</v>
      </c>
      <c r="F88" s="245">
        <f>-J85*B86</f>
        <v>-10141435.985754529</v>
      </c>
      <c r="G88" s="245">
        <v>13</v>
      </c>
      <c r="H88" s="246"/>
      <c r="I88" s="250"/>
      <c r="J88" s="253"/>
      <c r="K88" s="193"/>
      <c r="L88" s="254">
        <f>F86</f>
        <v>3667138.6505493545</v>
      </c>
      <c r="M88" s="254">
        <v>0</v>
      </c>
      <c r="N88" s="254">
        <v>0</v>
      </c>
      <c r="O88" s="254">
        <f>-F86</f>
        <v>-3667138.6505493545</v>
      </c>
      <c r="P88" s="254">
        <v>0</v>
      </c>
      <c r="Q88" s="255">
        <v>0</v>
      </c>
      <c r="R88" s="193"/>
      <c r="S88" s="256">
        <f>B85</f>
        <v>0.97014250014533188</v>
      </c>
      <c r="T88" s="254">
        <f>B86</f>
        <v>0.24253562503633297</v>
      </c>
      <c r="U88" s="254">
        <v>0</v>
      </c>
      <c r="V88" s="254">
        <v>0</v>
      </c>
      <c r="W88" s="254">
        <v>0</v>
      </c>
      <c r="X88" s="255">
        <v>0</v>
      </c>
      <c r="Y88" s="193"/>
      <c r="Z88" s="254">
        <f>L88*S88+M88*S89+N88*S90+O88*S91+P88*S92+Q88*S93</f>
        <v>3557647.0588235292</v>
      </c>
      <c r="AA88" s="254">
        <f>L88*T88+M88*T89+N88*T90+O88*T91+P88*T92+Q88*T93</f>
        <v>889411.76470588229</v>
      </c>
      <c r="AB88" s="254">
        <f>L88*U88+M88*U89+N88*U90+O88*U91+P88*U92+Q88*U93</f>
        <v>0</v>
      </c>
      <c r="AC88" s="254">
        <f>L88*V88+M88*V89+N88*V90+O88*V91+P88*V92+Q88*V93</f>
        <v>-3557647.0588235292</v>
      </c>
      <c r="AD88" s="254">
        <f>L88*W88+M88*W89+N88*W90+O88*W91+P88*W92+Q88*W93</f>
        <v>-889411.76470588229</v>
      </c>
      <c r="AE88" s="255">
        <f>L88*X88+M88*X89+N88*X90+O88*X91+P88*X92+Q88*X93</f>
        <v>0</v>
      </c>
      <c r="AF88" s="193"/>
      <c r="AG88" s="257">
        <f t="shared" ref="AG88:AG93" si="21">G17</f>
        <v>0.53621622987807804</v>
      </c>
      <c r="AH88" s="257"/>
      <c r="AI88" s="257">
        <f>Z88*AG88+AA88*AG89+AB88*AG90+AC88*AG91+AD88*AG92+AE88*AG93</f>
        <v>-1598.0045918544638</v>
      </c>
      <c r="AK88" s="296" t="s">
        <v>367</v>
      </c>
      <c r="AL88" s="293">
        <f>ABS((Z88*AG88+AA88*AG89+AB88*AG90+AC88*AG91+AD88*AG92+AE88*AG93)/((2*$B$7*$B$8)+($B$9*B14)))</f>
        <v>8.8778032880803543</v>
      </c>
      <c r="AM88" s="294" t="str">
        <f t="shared" ref="AM88:AM93" si="22">IF(AL88&gt;AN88,"&gt;",IF(AL88&lt;AN88,"&lt;",))</f>
        <v>&lt;</v>
      </c>
      <c r="AN88" s="295">
        <f>$F$28</f>
        <v>1440</v>
      </c>
      <c r="AO88" s="298" t="s">
        <v>379</v>
      </c>
      <c r="AP88" s="295">
        <f>(ABS((Z88*AG88+AA88*AG89+AB88*AG90+AC88*AG91+AD88*AG92+AE88*AG93)/((2*$B$7*$B$8)+($B$9*B14))))/$F$28</f>
        <v>6.1651411722780242E-3</v>
      </c>
      <c r="AQ88" s="294" t="str">
        <f t="shared" ref="AQ88:AQ93" si="23">IF(AP88&gt;AR88,"&gt;",IF(AP88&lt;AR88,"&lt;",))</f>
        <v>&lt;</v>
      </c>
      <c r="AR88" s="295">
        <v>0.15</v>
      </c>
      <c r="AX88">
        <f t="shared" ref="AX88:AX93" si="24">G88</f>
        <v>13</v>
      </c>
      <c r="AY88">
        <f>AX88*1000+AY87</f>
        <v>13013</v>
      </c>
      <c r="AZ88">
        <f>AX88*1000+AZ87</f>
        <v>13014</v>
      </c>
      <c r="BA88">
        <f>AX88*1000+BA87</f>
        <v>13015</v>
      </c>
      <c r="BB88">
        <f>AX88*1000+BB87</f>
        <v>13016</v>
      </c>
      <c r="BC88">
        <f>AX88*1000+BC87</f>
        <v>13017</v>
      </c>
      <c r="BD88">
        <f>AX88*1000+BD87</f>
        <v>13018</v>
      </c>
    </row>
    <row r="89" spans="1:56" ht="15.75" thickBot="1" x14ac:dyDescent="0.3">
      <c r="A89" s="249">
        <f>(F86-J86)*B85*B86</f>
        <v>671958.53451505699</v>
      </c>
      <c r="B89" s="258">
        <f>(F86*B86^2+J86*B85^2)</f>
        <v>979304.51248912641</v>
      </c>
      <c r="C89" s="245">
        <f>J85*B85</f>
        <v>40565743.943018116</v>
      </c>
      <c r="D89" s="245">
        <f>-(F86-J86)*B85*B86</f>
        <v>-671958.53451505699</v>
      </c>
      <c r="E89" s="245">
        <f>-(F86*B86^2+J86*B85^2)</f>
        <v>-979304.51248912641</v>
      </c>
      <c r="F89" s="245">
        <f>J85*B85</f>
        <v>40565743.943018116</v>
      </c>
      <c r="G89" s="245">
        <v>14</v>
      </c>
      <c r="H89" s="246"/>
      <c r="I89" s="246"/>
      <c r="J89" s="253"/>
      <c r="K89" s="193"/>
      <c r="L89" s="254">
        <v>0</v>
      </c>
      <c r="M89" s="254">
        <f>J86</f>
        <v>811314.87886036222</v>
      </c>
      <c r="N89" s="254">
        <f>J85</f>
        <v>41814211.764705881</v>
      </c>
      <c r="O89" s="254">
        <v>0</v>
      </c>
      <c r="P89" s="254">
        <f>-J86</f>
        <v>-811314.87886036222</v>
      </c>
      <c r="Q89" s="255">
        <f>J85</f>
        <v>41814211.764705881</v>
      </c>
      <c r="R89" s="193"/>
      <c r="S89" s="256">
        <f>-B86</f>
        <v>-0.24253562503633297</v>
      </c>
      <c r="T89" s="254">
        <f>B85</f>
        <v>0.97014250014533188</v>
      </c>
      <c r="U89" s="254">
        <v>0</v>
      </c>
      <c r="V89" s="254">
        <v>0</v>
      </c>
      <c r="W89" s="254">
        <v>0</v>
      </c>
      <c r="X89" s="255">
        <v>0</v>
      </c>
      <c r="Y89" s="193"/>
      <c r="Z89" s="254">
        <f>L89*S88+M89*S89+N89*S90+O89*S91+P89*S92+Q89*S93</f>
        <v>-196772.76124567472</v>
      </c>
      <c r="AA89" s="254">
        <f>L89*T88+M89*T89+N89*T90+O89*T91+P89*T92+Q89*T93</f>
        <v>787091.04498269886</v>
      </c>
      <c r="AB89" s="254">
        <f>L89*U88+M89*U89+N89*U90+O89*U91+P89*U92+Q89*U93</f>
        <v>41814211.764705881</v>
      </c>
      <c r="AC89" s="254">
        <f>L89*V88+M89*V89+N89*V90+O89*V91+P89*V92+Q89*V93</f>
        <v>196772.76124567472</v>
      </c>
      <c r="AD89" s="254">
        <f>L89*W88+M89*W89+N89*W90+O89*W91+P89*W92+Q89*W93</f>
        <v>-787091.04498269886</v>
      </c>
      <c r="AE89" s="255">
        <f>L89*X88+M89*X89+N89*X90+O89*X91+P89*X92+Q89*X93</f>
        <v>41814211.764705881</v>
      </c>
      <c r="AF89" s="193"/>
      <c r="AG89" s="257">
        <f t="shared" si="21"/>
        <v>1.5482954545461068E-3</v>
      </c>
      <c r="AH89" s="257"/>
      <c r="AI89" s="257">
        <f>Z89*AG88+AA89*AG89+AB89*AG90+AC89*AG91+AD89*AG92+AE89*AG93</f>
        <v>-1339.9340378446577</v>
      </c>
      <c r="AK89" s="296" t="s">
        <v>368</v>
      </c>
      <c r="AL89" s="293">
        <f>ABS((Z89*AG88+AA89*AG89+AB89*AG90+AC89*AG91+AD89*AG92+AE89*AG93)/((2*$B$7*$B$8)+($B$9*B14)))</f>
        <v>7.4440779880258763</v>
      </c>
      <c r="AM89" s="294" t="str">
        <f t="shared" si="22"/>
        <v>&lt;</v>
      </c>
      <c r="AN89" s="295">
        <f>$H$28</f>
        <v>960</v>
      </c>
      <c r="AO89" s="298" t="s">
        <v>374</v>
      </c>
      <c r="AP89" s="295">
        <f>((ABS((Z89*AG88+AA89*AG89+AB89*AG90+AC89*AG91+AD89*AG92+AE89*AG93)/((2*$B$7*$B$8)+($B$9*B14))))/$H$28)</f>
        <v>7.7542479041936207E-3</v>
      </c>
      <c r="AQ89" s="294" t="str">
        <f t="shared" si="23"/>
        <v>&lt;</v>
      </c>
      <c r="AR89" s="295">
        <v>1</v>
      </c>
      <c r="AX89">
        <f t="shared" si="24"/>
        <v>14</v>
      </c>
      <c r="AY89">
        <f>AX89*1000+AY87</f>
        <v>14013</v>
      </c>
      <c r="AZ89">
        <f>AX89*1000+AZ87</f>
        <v>14014</v>
      </c>
      <c r="BA89">
        <f>AX89*1000+BA87</f>
        <v>14015</v>
      </c>
      <c r="BB89">
        <f>AX89*1000+BB87</f>
        <v>14016</v>
      </c>
      <c r="BC89">
        <f>AX89*1000+BC87</f>
        <v>14017</v>
      </c>
      <c r="BD89">
        <f>AX89*1000+BD87</f>
        <v>14018</v>
      </c>
    </row>
    <row r="90" spans="1:56" ht="15.75" thickBot="1" x14ac:dyDescent="0.3">
      <c r="A90" s="249">
        <f>-J85*B86</f>
        <v>-10141435.985754529</v>
      </c>
      <c r="B90" s="245">
        <f>J85*B85</f>
        <v>40565743.943018116</v>
      </c>
      <c r="C90" s="258">
        <f>H85</f>
        <v>2873406862.6304498</v>
      </c>
      <c r="D90" s="245">
        <f>J85*B86</f>
        <v>10141435.985754529</v>
      </c>
      <c r="E90" s="245">
        <f>-J85*B85</f>
        <v>-40565743.943018116</v>
      </c>
      <c r="F90" s="245">
        <f>H86</f>
        <v>1436703431.3152249</v>
      </c>
      <c r="G90" s="245">
        <v>15</v>
      </c>
      <c r="H90" s="246"/>
      <c r="I90" s="246"/>
      <c r="J90" s="253"/>
      <c r="K90" s="193"/>
      <c r="L90" s="254">
        <v>0</v>
      </c>
      <c r="M90" s="254">
        <f>J85</f>
        <v>41814211.764705881</v>
      </c>
      <c r="N90" s="254">
        <f>H85</f>
        <v>2873406862.6304498</v>
      </c>
      <c r="O90" s="254">
        <v>0</v>
      </c>
      <c r="P90" s="254">
        <f>-J85</f>
        <v>-41814211.764705881</v>
      </c>
      <c r="Q90" s="255">
        <f>H86</f>
        <v>1436703431.3152249</v>
      </c>
      <c r="R90" s="193"/>
      <c r="S90" s="256">
        <v>0</v>
      </c>
      <c r="T90" s="254">
        <v>0</v>
      </c>
      <c r="U90" s="254">
        <v>1</v>
      </c>
      <c r="V90" s="254">
        <v>0</v>
      </c>
      <c r="W90" s="254">
        <v>0</v>
      </c>
      <c r="X90" s="255">
        <v>0</v>
      </c>
      <c r="Y90" s="193"/>
      <c r="Z90" s="254">
        <f>L90*S88+M90*S89+N90*S90+O90*S91+P90*S92+Q90*S93</f>
        <v>-10141435.985754529</v>
      </c>
      <c r="AA90" s="254">
        <f>L90*T88+M90*T89+N90*T90+O90*T91+P90*T92+Q90*T93</f>
        <v>40565743.943018116</v>
      </c>
      <c r="AB90" s="254">
        <f>L90*U88+M90*U89+N90*U90+O90*U91+P90*U92+Q90*U93</f>
        <v>2873406862.6304498</v>
      </c>
      <c r="AC90" s="254">
        <f>L90*V88+M90*V89+N90*V90+O90*V91+P90*V92+Q90*V93</f>
        <v>10141435.985754529</v>
      </c>
      <c r="AD90" s="254">
        <f>L90*W88+M90*W89+N90*W90+O90*W91+P90*W92+Q90*W93</f>
        <v>-40565743.943018116</v>
      </c>
      <c r="AE90" s="255">
        <f>L90*X88+M90*X89+N90*X90+O90*X91+P90*X92+Q90*X93</f>
        <v>1436703431.3152249</v>
      </c>
      <c r="AF90" s="193"/>
      <c r="AG90" s="257">
        <f t="shared" si="21"/>
        <v>-1.0638175777456641E-3</v>
      </c>
      <c r="AH90" s="257"/>
      <c r="AI90" s="257">
        <f>Z90*AG88+AA90*AG89+AB90*AG90+AC90*AG91+AD90*AG92+AE90*AG93</f>
        <v>-490124.17224344274</v>
      </c>
      <c r="AK90" s="296" t="s">
        <v>369</v>
      </c>
      <c r="AL90" s="293">
        <f>ABS((Z90*AG88+AA90*AG89+AB90*AG90+AC90*AG91+AD90*AG92+AE90*AG93)*($B$8+0.5*B14)/(2*((($B$7*($B$8)^3)/12)+($B$7*$B$8)*(B14+2*$B$8-0.5*$B$8-($B$8+0.5*B14))^2)+($B$9*(B14)^3)/12))</f>
        <v>236.30490437148401</v>
      </c>
      <c r="AM90" s="294" t="str">
        <f t="shared" si="22"/>
        <v>&lt;</v>
      </c>
      <c r="AN90" s="295">
        <f>$J$28</f>
        <v>1440</v>
      </c>
      <c r="AO90" s="298" t="s">
        <v>373</v>
      </c>
      <c r="AP90" s="305">
        <f>((ABS((Z88*AG88+AA88*AG89+AB88*AG90+AC88*AG91+AD88*AG92+AE88*AG93)/((2*$B$7*$B$8)+($B$9*B14))))/$F$28)+((ABS((Z90*AG88+AA90*AG89+AB90*AG90+AC90*AG91+AD90*AG92+AE90*AG93)*($B$8+0.5*B14)/(2*((($B$7*($B$8)^3)/12)+($B$7*$B$8)*(B14+2*$B$8-0.5*$B$8-($B$8+0.5*B14))^2)+($B$9*(B14)^3)/12)))/$J$28)</f>
        <v>0.17026576920803083</v>
      </c>
      <c r="AQ90" s="294" t="str">
        <f t="shared" si="23"/>
        <v>&lt;</v>
      </c>
      <c r="AR90" s="295">
        <v>1</v>
      </c>
      <c r="AX90">
        <f t="shared" si="24"/>
        <v>15</v>
      </c>
      <c r="AY90">
        <f>AX90*1000+AY87</f>
        <v>15013</v>
      </c>
      <c r="AZ90">
        <f>AX90*1000+AZ87</f>
        <v>15014</v>
      </c>
      <c r="BA90">
        <f>AX90*1000+BA87</f>
        <v>15015</v>
      </c>
      <c r="BB90">
        <f>AX90*1000+BB87</f>
        <v>15016</v>
      </c>
      <c r="BC90">
        <f>AX90*1000+BC87</f>
        <v>15017</v>
      </c>
      <c r="BD90">
        <f>AX90*1000+BD87</f>
        <v>15018</v>
      </c>
    </row>
    <row r="91" spans="1:56" ht="16.5" thickBot="1" x14ac:dyDescent="0.3">
      <c r="A91" s="249">
        <f>-(F86*B85^2+J86*B86^2)</f>
        <v>-3499149.0169205903</v>
      </c>
      <c r="B91" s="245">
        <f>-(F86-J86)*B85*B86</f>
        <v>-671958.53451505699</v>
      </c>
      <c r="C91" s="245">
        <f>J85*B86</f>
        <v>10141435.985754529</v>
      </c>
      <c r="D91" s="258">
        <f>(F86*B85^2+J86*B86^2)</f>
        <v>3499149.0169205903</v>
      </c>
      <c r="E91" s="245">
        <f>(F86-J86)*B85*B86</f>
        <v>671958.53451505699</v>
      </c>
      <c r="F91" s="245">
        <f>J85*B86</f>
        <v>10141435.985754529</v>
      </c>
      <c r="G91" s="245">
        <v>16</v>
      </c>
      <c r="H91" s="246"/>
      <c r="I91" s="246"/>
      <c r="J91" s="253"/>
      <c r="K91" s="193"/>
      <c r="L91" s="254">
        <f>-F86</f>
        <v>-3667138.6505493545</v>
      </c>
      <c r="M91" s="254">
        <v>0</v>
      </c>
      <c r="N91" s="254">
        <v>0</v>
      </c>
      <c r="O91" s="254">
        <f>F86</f>
        <v>3667138.6505493545</v>
      </c>
      <c r="P91" s="254">
        <v>0</v>
      </c>
      <c r="Q91" s="255">
        <v>0</v>
      </c>
      <c r="R91" s="259" t="s">
        <v>287</v>
      </c>
      <c r="S91" s="256">
        <v>0</v>
      </c>
      <c r="T91" s="254">
        <v>0</v>
      </c>
      <c r="U91" s="254">
        <v>0</v>
      </c>
      <c r="V91" s="254">
        <f>B85</f>
        <v>0.97014250014533188</v>
      </c>
      <c r="W91" s="254">
        <f>B86</f>
        <v>0.24253562503633297</v>
      </c>
      <c r="X91" s="255">
        <v>0</v>
      </c>
      <c r="Y91" s="260" t="s">
        <v>127</v>
      </c>
      <c r="Z91" s="254">
        <f>L91*S88+M91*S89+N91*S90+O91*S91+P91*S92+Q91*S93</f>
        <v>-3557647.0588235292</v>
      </c>
      <c r="AA91" s="254">
        <f>L91*T88+M91*T89+N91*T90+O91*T91+P91*T92+Q91*T93</f>
        <v>-889411.76470588229</v>
      </c>
      <c r="AB91" s="254">
        <f>L91*U88+M91*U89+N91*U90+O91*U91+P91*U92+Q91*U93</f>
        <v>0</v>
      </c>
      <c r="AC91" s="254">
        <f>L91*V88+M91*V89+N91*V90+O91*V91+P91*V92+Q91*V93</f>
        <v>3557647.0588235292</v>
      </c>
      <c r="AD91" s="254">
        <f>L91*W88+M91*W89+N91*W90+O91*W91+P91*W92+Q91*W93</f>
        <v>889411.76470588229</v>
      </c>
      <c r="AE91" s="255">
        <f>L91*X88+M91*X89+N91*X90+O91*X91+P91*X92+Q91*X93</f>
        <v>0</v>
      </c>
      <c r="AF91" s="259" t="s">
        <v>287</v>
      </c>
      <c r="AG91" s="257">
        <f t="shared" si="21"/>
        <v>0.55550692078249475</v>
      </c>
      <c r="AH91" s="259" t="s">
        <v>127</v>
      </c>
      <c r="AI91" s="257">
        <f>Z91*AG88+AA91*AG89+AB91*AG90+AC91*AG91+AD91*AG92+AE91*AG93</f>
        <v>1598.0045918544638</v>
      </c>
      <c r="AK91" s="296" t="s">
        <v>370</v>
      </c>
      <c r="AL91" s="293">
        <f>ABS((Z91*AG88+AA91*AG89+AB91*AG90+AC91*AG91+AD91*AG92+AE91*AG93)/((2*$B$7*$B$8)+($B$9*B14)))</f>
        <v>8.8778032880803543</v>
      </c>
      <c r="AM91" s="294" t="str">
        <f t="shared" si="22"/>
        <v>&lt;</v>
      </c>
      <c r="AN91" s="295">
        <f>$F$28</f>
        <v>1440</v>
      </c>
      <c r="AO91" s="298" t="s">
        <v>378</v>
      </c>
      <c r="AP91" s="295">
        <f>(B14)/$B$9</f>
        <v>15</v>
      </c>
      <c r="AQ91" s="294" t="str">
        <f t="shared" si="23"/>
        <v>&lt;</v>
      </c>
      <c r="AR91" s="295">
        <f>6370/($J$28)^0.5</f>
        <v>167.86423912727147</v>
      </c>
      <c r="AX91">
        <f t="shared" si="24"/>
        <v>16</v>
      </c>
      <c r="AY91">
        <f>AX91*1000+AY87</f>
        <v>16013</v>
      </c>
      <c r="AZ91">
        <f>AX91*1000+AZ87</f>
        <v>16014</v>
      </c>
      <c r="BA91">
        <f>AX91*1000+BA87</f>
        <v>16015</v>
      </c>
      <c r="BB91">
        <f>AX91*1000+BB87</f>
        <v>16016</v>
      </c>
      <c r="BC91">
        <f>AX91*1000+BC87</f>
        <v>16017</v>
      </c>
      <c r="BD91">
        <f>AX91*1000+BD87</f>
        <v>16018</v>
      </c>
    </row>
    <row r="92" spans="1:56" ht="15.75" thickBot="1" x14ac:dyDescent="0.3">
      <c r="A92" s="249">
        <f>-(F86-J86)*B85*B86</f>
        <v>-671958.53451505699</v>
      </c>
      <c r="B92" s="245">
        <f>-(F86*B86^2+J86*B85^2)</f>
        <v>-979304.51248912641</v>
      </c>
      <c r="C92" s="245">
        <f>-J85*B85</f>
        <v>-40565743.943018116</v>
      </c>
      <c r="D92" s="245">
        <f>(F86-J86)*B85*B86</f>
        <v>671958.53451505699</v>
      </c>
      <c r="E92" s="258">
        <f>(F86*B86^2+J86*B85^2)</f>
        <v>979304.51248912641</v>
      </c>
      <c r="F92" s="245">
        <f>-J85*B85</f>
        <v>-40565743.943018116</v>
      </c>
      <c r="G92" s="245">
        <v>17</v>
      </c>
      <c r="H92" s="246"/>
      <c r="I92" s="246"/>
      <c r="J92" s="253"/>
      <c r="K92" s="193"/>
      <c r="L92" s="254">
        <v>0</v>
      </c>
      <c r="M92" s="254">
        <f>-J86</f>
        <v>-811314.87886036222</v>
      </c>
      <c r="N92" s="254">
        <f>-J85</f>
        <v>-41814211.764705881</v>
      </c>
      <c r="O92" s="254">
        <v>0</v>
      </c>
      <c r="P92" s="254">
        <f>J86</f>
        <v>811314.87886036222</v>
      </c>
      <c r="Q92" s="255">
        <f>-J85</f>
        <v>-41814211.764705881</v>
      </c>
      <c r="R92" s="193"/>
      <c r="S92" s="256">
        <v>0</v>
      </c>
      <c r="T92" s="254">
        <v>0</v>
      </c>
      <c r="U92" s="254">
        <v>0</v>
      </c>
      <c r="V92" s="254">
        <f>-B86</f>
        <v>-0.24253562503633297</v>
      </c>
      <c r="W92" s="254">
        <f>B85</f>
        <v>0.97014250014533188</v>
      </c>
      <c r="X92" s="255">
        <v>0</v>
      </c>
      <c r="Y92" s="193"/>
      <c r="Z92" s="254">
        <f>L92*S88+M92*S89+N92*S90+O92*S91+P92*S92+Q92*S93</f>
        <v>196772.76124567472</v>
      </c>
      <c r="AA92" s="254">
        <f>L92*T88+M92*T89+N92*T90+O92*T91+P92*T92+Q92*T93</f>
        <v>-787091.04498269886</v>
      </c>
      <c r="AB92" s="254">
        <f>L92*U88+M92*U89+N92*U90+O92*U91+P92*U92+Q92*U93</f>
        <v>-41814211.764705881</v>
      </c>
      <c r="AC92" s="254">
        <f>L92*V88+M92*V89+N92*V90+O92*V91+P92*V92+Q92*V93</f>
        <v>-196772.76124567472</v>
      </c>
      <c r="AD92" s="254">
        <f>L92*W88+M92*W89+N92*W90+O92*W91+P92*W92+Q92*W93</f>
        <v>787091.04498269886</v>
      </c>
      <c r="AE92" s="255">
        <f>L92*X88+M92*X89+N92*X90+O92*X91+P92*X92+Q92*X93</f>
        <v>-41814211.764705881</v>
      </c>
      <c r="AF92" s="193"/>
      <c r="AG92" s="257">
        <f t="shared" si="21"/>
        <v>-7.381776987862855E-2</v>
      </c>
      <c r="AH92" s="257"/>
      <c r="AI92" s="257">
        <f>Z92*AG88+AA92*AG89+AB92*AG90+AC92*AG91+AD92*AG92+AE92*AG93</f>
        <v>1339.9340378446577</v>
      </c>
      <c r="AK92" s="296" t="s">
        <v>371</v>
      </c>
      <c r="AL92" s="293">
        <f>ABS((Z92*AG88+AA92*AG89+AB92*AG90+AC92*AG91+AD92*AG92+AE92*AG93)/((2*$B$7*$B$8)+($B$9*B14)))</f>
        <v>7.4440779880258763</v>
      </c>
      <c r="AM92" s="294" t="str">
        <f t="shared" si="22"/>
        <v>&lt;</v>
      </c>
      <c r="AN92" s="295">
        <f>$H$28</f>
        <v>960</v>
      </c>
      <c r="AO92" s="298" t="s">
        <v>374</v>
      </c>
      <c r="AP92" s="295">
        <f>((ABS((Z92*AG88+AA92*AG89+AB92*AG90+AC92*AG91+AD92*AG92+AE92*AG93)/((2*$B$7*$B$8)+($B$9*B14))))/$H$28)</f>
        <v>7.7542479041936207E-3</v>
      </c>
      <c r="AQ92" s="294" t="str">
        <f t="shared" si="23"/>
        <v>&lt;</v>
      </c>
      <c r="AR92" s="295">
        <v>1</v>
      </c>
      <c r="AX92">
        <f t="shared" si="24"/>
        <v>17</v>
      </c>
      <c r="AY92">
        <f>AX92*1000+AY87</f>
        <v>17013</v>
      </c>
      <c r="AZ92">
        <f>AX92*1000+AZ87</f>
        <v>17014</v>
      </c>
      <c r="BA92">
        <f>AX92*1000+BA87</f>
        <v>17015</v>
      </c>
      <c r="BB92">
        <f>AX92*1000+BB87</f>
        <v>17016</v>
      </c>
      <c r="BC92">
        <f>AX92*1000+BC87</f>
        <v>17017</v>
      </c>
      <c r="BD92">
        <f>AX92*1000+BD87</f>
        <v>17018</v>
      </c>
    </row>
    <row r="93" spans="1:56" ht="15.75" thickBot="1" x14ac:dyDescent="0.3">
      <c r="A93" s="261">
        <f>-J85*B86</f>
        <v>-10141435.985754529</v>
      </c>
      <c r="B93" s="262">
        <f>J85*B85</f>
        <v>40565743.943018116</v>
      </c>
      <c r="C93" s="262">
        <f>H86</f>
        <v>1436703431.3152249</v>
      </c>
      <c r="D93" s="262">
        <f>J85*B86</f>
        <v>10141435.985754529</v>
      </c>
      <c r="E93" s="262">
        <f>-J85*B85</f>
        <v>-40565743.943018116</v>
      </c>
      <c r="F93" s="263">
        <f>H85</f>
        <v>2873406862.6304498</v>
      </c>
      <c r="G93" s="262">
        <v>18</v>
      </c>
      <c r="H93" s="264"/>
      <c r="I93" s="264"/>
      <c r="J93" s="265"/>
      <c r="K93" s="193"/>
      <c r="L93" s="254">
        <v>0</v>
      </c>
      <c r="M93" s="254">
        <f>J85</f>
        <v>41814211.764705881</v>
      </c>
      <c r="N93" s="254">
        <f>H86</f>
        <v>1436703431.3152249</v>
      </c>
      <c r="O93" s="254">
        <v>0</v>
      </c>
      <c r="P93" s="254">
        <f>-J85</f>
        <v>-41814211.764705881</v>
      </c>
      <c r="Q93" s="255">
        <f>H85</f>
        <v>2873406862.6304498</v>
      </c>
      <c r="R93" s="193"/>
      <c r="S93" s="256">
        <v>0</v>
      </c>
      <c r="T93" s="254">
        <v>0</v>
      </c>
      <c r="U93" s="254">
        <v>0</v>
      </c>
      <c r="V93" s="254">
        <v>0</v>
      </c>
      <c r="W93" s="254">
        <v>0</v>
      </c>
      <c r="X93" s="255">
        <v>1</v>
      </c>
      <c r="Y93" s="193"/>
      <c r="Z93" s="254">
        <f>L93*S88+M93*S89+N93*S90+O93*S91+P93*S92+Q93*S93</f>
        <v>-10141435.985754529</v>
      </c>
      <c r="AA93" s="254">
        <f>L93*T88+M93*T89+N93*T90+O93*T91+P93*T92+Q93*T93</f>
        <v>40565743.943018116</v>
      </c>
      <c r="AB93" s="254">
        <f>L93*U88+M93*U89+N93*U90+O93*U91+P93*U92+Q93*U93</f>
        <v>1436703431.3152249</v>
      </c>
      <c r="AC93" s="254">
        <f>L93*V88+M93*V89+N93*V90+O93*V91+P93*V92+Q93*V93</f>
        <v>10141435.985754529</v>
      </c>
      <c r="AD93" s="254">
        <f>L93*W88+M93*W89+N93*W90+O93*W91+P93*W92+Q93*W93</f>
        <v>-40565743.943018116</v>
      </c>
      <c r="AE93" s="255">
        <f>L93*X88+M93*X89+N93*X90+O93*X91+P93*X92+Q93*X93</f>
        <v>2873406862.6304498</v>
      </c>
      <c r="AF93" s="193"/>
      <c r="AG93" s="257">
        <f t="shared" si="21"/>
        <v>-4.7766243473113489E-4</v>
      </c>
      <c r="AH93" s="257"/>
      <c r="AI93" s="257">
        <f>Z93*AG88+AA93*AG89+AB93*AG90+AC93*AG91+AD93*AG92+AE93*AG93</f>
        <v>352006.93300859747</v>
      </c>
      <c r="AK93" s="296" t="s">
        <v>372</v>
      </c>
      <c r="AL93" s="293">
        <f>ABS((Z93*AG88+AA93*AG89+AB93*AG90+AC93*AG91+AD93*AG92+AE93*AG93)*($B$8+0.5*B14)/(2*((($B$7*($B$8)^3)/12)+($B$7*$B$8)*(B14+2*$B$8-0.5*$B$8-($B$8+0.5*B14))^2)+($B$9*(B14)^3)/12))</f>
        <v>169.71406299336803</v>
      </c>
      <c r="AM93" s="294" t="str">
        <f t="shared" si="22"/>
        <v>&lt;</v>
      </c>
      <c r="AN93" s="295">
        <f>$J$28</f>
        <v>1440</v>
      </c>
      <c r="AO93" s="298" t="s">
        <v>373</v>
      </c>
      <c r="AP93" s="305">
        <f>((ABS((Z91*AG88+AA91*AG89+AB91*AG90+AC91*AG91+AD91*AG92+AE91*AG93)/((2*$B$7*$B$8)+($B$9*B14))))/$F$28)+((ABS((Z93*AG88+AA93*AG89+AB93*AG90+AC93*AG91+AD93*AG92+AE93*AG93)*($B$8+0.5*B14)/(2*((($B$7*($B$8)^3)/12)+($B$7*$B$8)*(B14+2*$B$8-0.5*$B$8-($B$8+0.5*B14))^2)+($B$9*(B14)^3)/12)))/$J$28)</f>
        <v>0.12402212936211693</v>
      </c>
      <c r="AQ93" s="294" t="str">
        <f t="shared" si="23"/>
        <v>&lt;</v>
      </c>
      <c r="AR93" s="295">
        <v>1</v>
      </c>
      <c r="AX93">
        <f t="shared" si="24"/>
        <v>18</v>
      </c>
      <c r="AY93">
        <f>AX93*1000+AY87</f>
        <v>18013</v>
      </c>
      <c r="AZ93">
        <f>AX93*1000+AZ87</f>
        <v>18014</v>
      </c>
      <c r="BA93">
        <f>AX93*1000+BA87</f>
        <v>18015</v>
      </c>
      <c r="BB93">
        <f>AX93*1000+BB87</f>
        <v>18016</v>
      </c>
      <c r="BC93">
        <f>AX93*1000+BC87</f>
        <v>18017</v>
      </c>
      <c r="BD93">
        <f>AX93*1000+BD87</f>
        <v>18018</v>
      </c>
    </row>
    <row r="94" spans="1:56" x14ac:dyDescent="0.25">
      <c r="A94" s="239" t="s">
        <v>279</v>
      </c>
      <c r="B94" s="240">
        <f>(D37-B37)/F37</f>
        <v>0.97014250014533188</v>
      </c>
      <c r="C94" s="241" t="s">
        <v>280</v>
      </c>
      <c r="D94" s="240">
        <f>$B$8+0.5*B15</f>
        <v>14.5</v>
      </c>
      <c r="E94" s="241" t="s">
        <v>30</v>
      </c>
      <c r="F94" s="242">
        <f>2*((($B$7*($B$8)^3)/12)+($B$7*$B$8)*(B15+2*$B$8-0.5*$B$8-($B$8+0.5*B15))^2)+($B$9*(B15)^3)/12</f>
        <v>24514.166666666668</v>
      </c>
      <c r="G94" s="241" t="s">
        <v>281</v>
      </c>
      <c r="H94" s="241">
        <f>4*$B$28*(2*((($B$7*($B$8)^3)/12)+($B$7*$B$8)*(B15+2*$B$8-0.5*$B$8-($B$8+0.5*B15))^2)+($B$9*(B15)^3)/12)/F37</f>
        <v>1997707734.8742659</v>
      </c>
      <c r="I94" s="241" t="s">
        <v>282</v>
      </c>
      <c r="J94" s="243">
        <f>6*$B$28*(2*((($B$7*($B$8)^3)/12)+($B$7*$B$8)*(B15+2*$B$8-0.5*$B$8-($B$8+0.5*B15))^2)+($B$9*(B15)^3)/12)/(F37^2)</f>
        <v>29070917.647058822</v>
      </c>
    </row>
    <row r="95" spans="1:56" x14ac:dyDescent="0.25">
      <c r="A95" s="244" t="s">
        <v>283</v>
      </c>
      <c r="B95" s="245">
        <f>(E37-C37)/F37</f>
        <v>0.24253562503633297</v>
      </c>
      <c r="C95" s="246" t="s">
        <v>13</v>
      </c>
      <c r="D95" s="247">
        <f>(2*$B$7*$B$8)+($B$9*B15)</f>
        <v>170</v>
      </c>
      <c r="E95" s="246" t="s">
        <v>284</v>
      </c>
      <c r="F95" s="246">
        <f>$B$28*((2*$B$7*$B$8)+($B$9*B15))/F37</f>
        <v>3463408.7255188348</v>
      </c>
      <c r="G95" s="246" t="s">
        <v>285</v>
      </c>
      <c r="H95" s="246">
        <f>2*$B$28*(2*((($B$7*($B$8)^3)/12)+($B$7*$B$8)*(B15+2*$B$8-0.5*$B$8-($B$8+0.5*B15))^2)+($B$9*(B15)^3)/12)/F37</f>
        <v>998853867.43713295</v>
      </c>
      <c r="I95" s="246" t="s">
        <v>286</v>
      </c>
      <c r="J95" s="248">
        <f>12*$B$28*(2*((($B$7*($B$8)^3)/12)+($B$7*$B$8)*(B15+2*$B$8-0.5*$B$8-($B$8+0.5*B15))^2)+($B$9*(B15)^3)/12)/(F37^3)</f>
        <v>564058.65455273387</v>
      </c>
    </row>
    <row r="96" spans="1:56" ht="15.75" thickBot="1" x14ac:dyDescent="0.3">
      <c r="A96" s="249">
        <f>G97</f>
        <v>16</v>
      </c>
      <c r="B96" s="245">
        <f>G98</f>
        <v>17</v>
      </c>
      <c r="C96" s="245">
        <f>G99</f>
        <v>18</v>
      </c>
      <c r="D96" s="245">
        <f>G100</f>
        <v>19</v>
      </c>
      <c r="E96" s="245">
        <f>G101</f>
        <v>20</v>
      </c>
      <c r="F96" s="245">
        <f>G102</f>
        <v>21</v>
      </c>
      <c r="G96" s="250"/>
      <c r="H96" s="246"/>
      <c r="I96" s="246"/>
      <c r="J96" s="251">
        <v>6</v>
      </c>
      <c r="AY96">
        <f>AX97</f>
        <v>16</v>
      </c>
      <c r="AZ96">
        <f>AX98</f>
        <v>17</v>
      </c>
      <c r="BA96">
        <f>AX99</f>
        <v>18</v>
      </c>
      <c r="BB96">
        <f>AX100</f>
        <v>19</v>
      </c>
      <c r="BC96">
        <f>AX101</f>
        <v>20</v>
      </c>
      <c r="BD96">
        <f>AX102</f>
        <v>21</v>
      </c>
    </row>
    <row r="97" spans="1:56" ht="15.75" thickBot="1" x14ac:dyDescent="0.3">
      <c r="A97" s="252">
        <f>(F95*B94^2+J95*B95^2)</f>
        <v>3292858.7213443583</v>
      </c>
      <c r="B97" s="245">
        <f>(F95-J95)*B94*B95</f>
        <v>682200.01669790607</v>
      </c>
      <c r="C97" s="245">
        <f>-J94*B95</f>
        <v>-7050733.1819091737</v>
      </c>
      <c r="D97" s="245">
        <f>-(F95*B94^2+J95*B95^2)</f>
        <v>-3292858.7213443583</v>
      </c>
      <c r="E97" s="245">
        <f>-(F95-J95)*B94*B95</f>
        <v>-682200.01669790607</v>
      </c>
      <c r="F97" s="245">
        <f>-J94*B95</f>
        <v>-7050733.1819091737</v>
      </c>
      <c r="G97" s="245">
        <v>16</v>
      </c>
      <c r="H97" s="246"/>
      <c r="I97" s="250"/>
      <c r="J97" s="253"/>
      <c r="K97" s="193"/>
      <c r="L97" s="254">
        <f>F95</f>
        <v>3463408.7255188348</v>
      </c>
      <c r="M97" s="254">
        <v>0</v>
      </c>
      <c r="N97" s="254">
        <v>0</v>
      </c>
      <c r="O97" s="254">
        <f>-F95</f>
        <v>-3463408.7255188348</v>
      </c>
      <c r="P97" s="254">
        <v>0</v>
      </c>
      <c r="Q97" s="255">
        <v>0</v>
      </c>
      <c r="R97" s="193"/>
      <c r="S97" s="256">
        <f>B94</f>
        <v>0.97014250014533188</v>
      </c>
      <c r="T97" s="254">
        <f>B95</f>
        <v>0.24253562503633297</v>
      </c>
      <c r="U97" s="254">
        <v>0</v>
      </c>
      <c r="V97" s="254">
        <v>0</v>
      </c>
      <c r="W97" s="254">
        <v>0</v>
      </c>
      <c r="X97" s="255">
        <v>0</v>
      </c>
      <c r="Y97" s="193"/>
      <c r="Z97" s="254">
        <f>L97*S97+M97*S98+N97*S99+O97*S100+P97*S101+Q97*S102</f>
        <v>3360000</v>
      </c>
      <c r="AA97" s="254">
        <f>L97*T97+M97*T98+N97*T99+O97*T100+P97*T101+Q97*T102</f>
        <v>840000</v>
      </c>
      <c r="AB97" s="254">
        <f>L97*U97+M97*U98+N97*U99+O97*U100+P97*U101+Q97*U102</f>
        <v>0</v>
      </c>
      <c r="AC97" s="254">
        <f>L97*V97+M97*V98+N97*V99+O97*V100+P97*V101+Q97*V102</f>
        <v>-3360000</v>
      </c>
      <c r="AD97" s="254">
        <f>L97*W97+M97*W98+N97*W99+O97*W100+P97*W101+Q97*W102</f>
        <v>-840000</v>
      </c>
      <c r="AE97" s="255">
        <f>L97*X97+M97*X98+N97*X99+O97*X100+P97*X101+Q97*X102</f>
        <v>0</v>
      </c>
      <c r="AF97" s="193"/>
      <c r="AG97" s="257">
        <f t="shared" ref="AG97:AG102" si="25">G20</f>
        <v>0.55550692078249475</v>
      </c>
      <c r="AH97" s="257"/>
      <c r="AI97" s="257">
        <f>Z97*AG97+AA97*AG98+AB97*AG99+AC97*AG100+AD97*AG101+AE97*AG102</f>
        <v>-1598.0045918538381</v>
      </c>
      <c r="AK97" s="296" t="s">
        <v>367</v>
      </c>
      <c r="AL97" s="293">
        <f>ABS((Z97*AG97+AA97*AG98+AB97*AG99+AC97*AG100+AD97*AG101+AE97*AG102)/((2*$B$7*$B$8)+($B$9*B15)))</f>
        <v>9.40002701090493</v>
      </c>
      <c r="AM97" s="294" t="str">
        <f t="shared" ref="AM97:AM102" si="26">IF(AL97&gt;AN97,"&gt;",IF(AL97&lt;AN97,"&lt;",))</f>
        <v>&lt;</v>
      </c>
      <c r="AN97" s="295">
        <f>$F$28</f>
        <v>1440</v>
      </c>
      <c r="AO97" s="298" t="s">
        <v>379</v>
      </c>
      <c r="AP97" s="295">
        <f>(ABS((Z97*AG97+AA97*AG98+AB97*AG99+AC97*AG100+AD97*AG101+AE97*AG102)/((2*$B$7*$B$8)+($B$9*B15))))/$F$28</f>
        <v>6.5277965353506455E-3</v>
      </c>
      <c r="AQ97" s="294" t="str">
        <f t="shared" ref="AQ97:AQ102" si="27">IF(AP97&gt;AR97,"&gt;",IF(AP97&lt;AR97,"&lt;",))</f>
        <v>&lt;</v>
      </c>
      <c r="AR97" s="295">
        <v>0.15</v>
      </c>
      <c r="AX97">
        <f t="shared" ref="AX97:AX102" si="28">G97</f>
        <v>16</v>
      </c>
      <c r="AY97">
        <f>AX97*1000+AY96</f>
        <v>16016</v>
      </c>
      <c r="AZ97">
        <f>AX97*1000+AZ96</f>
        <v>16017</v>
      </c>
      <c r="BA97">
        <f>AX97*1000+BA96</f>
        <v>16018</v>
      </c>
      <c r="BB97">
        <f>AX97*1000+BB96</f>
        <v>16019</v>
      </c>
      <c r="BC97">
        <f>AX97*1000+BC96</f>
        <v>16020</v>
      </c>
      <c r="BD97">
        <f>AX97*1000+BD96</f>
        <v>16021</v>
      </c>
    </row>
    <row r="98" spans="1:56" ht="15.75" thickBot="1" x14ac:dyDescent="0.3">
      <c r="A98" s="249">
        <f>(F95-J95)*B94*B95</f>
        <v>682200.01669790607</v>
      </c>
      <c r="B98" s="258">
        <f>(F95*B95^2+J95*B94^2)</f>
        <v>734608.65872721036</v>
      </c>
      <c r="C98" s="245">
        <f>J94*B94</f>
        <v>28202932.727636695</v>
      </c>
      <c r="D98" s="245">
        <f>-(F95-J95)*B94*B95</f>
        <v>-682200.01669790607</v>
      </c>
      <c r="E98" s="245">
        <f>-(F95*B95^2+J95*B94^2)</f>
        <v>-734608.65872721036</v>
      </c>
      <c r="F98" s="245">
        <f>J94*B94</f>
        <v>28202932.727636695</v>
      </c>
      <c r="G98" s="245">
        <v>17</v>
      </c>
      <c r="H98" s="246"/>
      <c r="I98" s="246"/>
      <c r="J98" s="253"/>
      <c r="K98" s="193"/>
      <c r="L98" s="254">
        <v>0</v>
      </c>
      <c r="M98" s="254">
        <f>J95</f>
        <v>564058.65455273387</v>
      </c>
      <c r="N98" s="254">
        <f>J94</f>
        <v>29070917.647058822</v>
      </c>
      <c r="O98" s="254">
        <v>0</v>
      </c>
      <c r="P98" s="254">
        <f>-J95</f>
        <v>-564058.65455273387</v>
      </c>
      <c r="Q98" s="255">
        <f>J94</f>
        <v>29070917.647058822</v>
      </c>
      <c r="R98" s="193"/>
      <c r="S98" s="256">
        <f>-B95</f>
        <v>-0.24253562503633297</v>
      </c>
      <c r="T98" s="254">
        <f>B94</f>
        <v>0.97014250014533188</v>
      </c>
      <c r="U98" s="254">
        <v>0</v>
      </c>
      <c r="V98" s="254">
        <v>0</v>
      </c>
      <c r="W98" s="254">
        <v>0</v>
      </c>
      <c r="X98" s="255">
        <v>0</v>
      </c>
      <c r="Y98" s="193"/>
      <c r="Z98" s="254">
        <f>L98*S97+M98*S98+N98*S99+O98*S100+P98*S101+Q98*S102</f>
        <v>-136804.31833910034</v>
      </c>
      <c r="AA98" s="254">
        <f>L98*T97+M98*T98+N98*T99+O98*T100+P98*T101+Q98*T102</f>
        <v>547217.27335640136</v>
      </c>
      <c r="AB98" s="254">
        <f>L98*U97+M98*U98+N98*U99+O98*U100+P98*U101+Q98*U102</f>
        <v>29070917.647058822</v>
      </c>
      <c r="AC98" s="254">
        <f>L98*V97+M98*V98+N98*V99+O98*V100+P98*V101+Q98*V102</f>
        <v>136804.31833910034</v>
      </c>
      <c r="AD98" s="254">
        <f>L98*W97+M98*W98+N98*W99+O98*W100+P98*W101+Q98*W102</f>
        <v>-547217.27335640136</v>
      </c>
      <c r="AE98" s="255">
        <f>L98*X97+M98*X98+N98*X99+O98*X100+P98*X101+Q98*X102</f>
        <v>29070917.647058822</v>
      </c>
      <c r="AF98" s="193"/>
      <c r="AG98" s="257">
        <f t="shared" si="25"/>
        <v>-7.381776987862855E-2</v>
      </c>
      <c r="AH98" s="257"/>
      <c r="AI98" s="257">
        <f>Z98*AG97+AA98*AG98+AB98*AG99+AC98*AG100+AD98*AG101+AE98*AG102</f>
        <v>-1339.9340378449087</v>
      </c>
      <c r="AK98" s="296" t="s">
        <v>368</v>
      </c>
      <c r="AL98" s="293">
        <f>ABS((Z98*AG97+AA98*AG98+AB98*AG99+AC98*AG100+AD98*AG101+AE98*AG102)/((2*$B$7*$B$8)+($B$9*B15)))</f>
        <v>7.8819649284994631</v>
      </c>
      <c r="AM98" s="294" t="str">
        <f t="shared" si="26"/>
        <v>&lt;</v>
      </c>
      <c r="AN98" s="295">
        <f>$H$28</f>
        <v>960</v>
      </c>
      <c r="AO98" s="298" t="s">
        <v>374</v>
      </c>
      <c r="AP98" s="295">
        <f>((ABS((Z98*AG97+AA98*AG98+AB98*AG99+AC98*AG100+AD98*AG101+AE98*AG102)/((2*$B$7*$B$8)+($B$9*B15))))/$H$28)</f>
        <v>8.2103801338536068E-3</v>
      </c>
      <c r="AQ98" s="294" t="str">
        <f t="shared" si="27"/>
        <v>&lt;</v>
      </c>
      <c r="AR98" s="295">
        <v>1</v>
      </c>
      <c r="AX98">
        <f t="shared" si="28"/>
        <v>17</v>
      </c>
      <c r="AY98">
        <f>AX98*1000+AY96</f>
        <v>17016</v>
      </c>
      <c r="AZ98">
        <f>AX98*1000+AZ96</f>
        <v>17017</v>
      </c>
      <c r="BA98">
        <f>AX98*1000+BA96</f>
        <v>17018</v>
      </c>
      <c r="BB98">
        <f>AX98*1000+BB96</f>
        <v>17019</v>
      </c>
      <c r="BC98">
        <f>AX98*1000+BC96</f>
        <v>17020</v>
      </c>
      <c r="BD98">
        <f>AX98*1000+BD96</f>
        <v>17021</v>
      </c>
    </row>
    <row r="99" spans="1:56" ht="15.75" thickBot="1" x14ac:dyDescent="0.3">
      <c r="A99" s="249">
        <f>-J94*B95</f>
        <v>-7050733.1819091737</v>
      </c>
      <c r="B99" s="245">
        <f>J94*B94</f>
        <v>28202932.727636695</v>
      </c>
      <c r="C99" s="258">
        <f>H94</f>
        <v>1997707734.8742659</v>
      </c>
      <c r="D99" s="245">
        <f>J94*B95</f>
        <v>7050733.1819091737</v>
      </c>
      <c r="E99" s="245">
        <f>-J94*B94</f>
        <v>-28202932.727636695</v>
      </c>
      <c r="F99" s="245">
        <f>H95</f>
        <v>998853867.43713295</v>
      </c>
      <c r="G99" s="245">
        <v>18</v>
      </c>
      <c r="H99" s="246"/>
      <c r="I99" s="246"/>
      <c r="J99" s="253"/>
      <c r="K99" s="193"/>
      <c r="L99" s="254">
        <v>0</v>
      </c>
      <c r="M99" s="254">
        <f>J94</f>
        <v>29070917.647058822</v>
      </c>
      <c r="N99" s="254">
        <f>H94</f>
        <v>1997707734.8742659</v>
      </c>
      <c r="O99" s="254">
        <v>0</v>
      </c>
      <c r="P99" s="254">
        <f>-J94</f>
        <v>-29070917.647058822</v>
      </c>
      <c r="Q99" s="255">
        <f>H95</f>
        <v>998853867.43713295</v>
      </c>
      <c r="R99" s="193"/>
      <c r="S99" s="256">
        <v>0</v>
      </c>
      <c r="T99" s="254">
        <v>0</v>
      </c>
      <c r="U99" s="254">
        <v>1</v>
      </c>
      <c r="V99" s="254">
        <v>0</v>
      </c>
      <c r="W99" s="254">
        <v>0</v>
      </c>
      <c r="X99" s="255">
        <v>0</v>
      </c>
      <c r="Y99" s="193"/>
      <c r="Z99" s="254">
        <f>L99*S97+M99*S98+N99*S99+O99*S100+P99*S101+Q99*S102</f>
        <v>-7050733.1819091737</v>
      </c>
      <c r="AA99" s="254">
        <f>L99*T97+M99*T98+N99*T99+O99*T100+P99*T101+Q99*T102</f>
        <v>28202932.727636695</v>
      </c>
      <c r="AB99" s="254">
        <f>L99*U97+M99*U98+N99*U99+O99*U100+P99*U101+Q99*U102</f>
        <v>1997707734.8742659</v>
      </c>
      <c r="AC99" s="254">
        <f>L99*V97+M99*V98+N99*V99+O99*V100+P99*V101+Q99*V102</f>
        <v>7050733.1819091737</v>
      </c>
      <c r="AD99" s="254">
        <f>L99*W97+M99*W98+N99*W99+O99*W100+P99*W101+Q99*W102</f>
        <v>-28202932.727636695</v>
      </c>
      <c r="AE99" s="255">
        <f>L99*X97+M99*X98+N99*X99+O99*X100+P99*X101+Q99*X102</f>
        <v>998853867.43713295</v>
      </c>
      <c r="AF99" s="193"/>
      <c r="AG99" s="257">
        <f t="shared" si="25"/>
        <v>-4.7766243473113489E-4</v>
      </c>
      <c r="AH99" s="257"/>
      <c r="AI99" s="257">
        <f>Z99*AG97+AA99*AG98+AB99*AG99+AC99*AG100+AD99*AG101+AE99*AG102</f>
        <v>-352006.93300859816</v>
      </c>
      <c r="AK99" s="296" t="s">
        <v>369</v>
      </c>
      <c r="AL99" s="293">
        <f>ABS((Z99*AG97+AA99*AG98+AB99*AG99+AC99*AG100+AD99*AG101+AE99*AG102)*($B$8+0.5*B15)/(2*((($B$7*($B$8)^3)/12)+($B$7*$B$8)*(B15+2*$B$8-0.5*$B$8-($B$8+0.5*B15))^2)+($B$9*(B15)^3)/12))</f>
        <v>208.21024014514083</v>
      </c>
      <c r="AM99" s="294" t="str">
        <f t="shared" si="26"/>
        <v>&lt;</v>
      </c>
      <c r="AN99" s="295">
        <f>$J$28</f>
        <v>1440</v>
      </c>
      <c r="AO99" s="298" t="s">
        <v>373</v>
      </c>
      <c r="AP99" s="305">
        <f>((ABS((Z97*AG97+AA97*AG98+AB97*AG99+AC97*AG100+AD97*AG101+AE97*AG102)/((2*$B$7*$B$8)+($B$9*B15))))/$F$28)+((ABS((Z99*AG97+AA99*AG98+AB99*AG99+AC99*AG100+AD99*AG101+AE99*AG102)*($B$8+0.5*B15)/(2*((($B$7*($B$8)^3)/12)+($B$7*$B$8)*(B15+2*$B$8-0.5*$B$8-($B$8+0.5*B15))^2)+($B$9*(B15)^3)/12)))/$J$28)</f>
        <v>0.15111824108058733</v>
      </c>
      <c r="AQ99" s="294" t="str">
        <f t="shared" si="27"/>
        <v>&lt;</v>
      </c>
      <c r="AR99" s="295">
        <v>1</v>
      </c>
      <c r="AX99">
        <f t="shared" si="28"/>
        <v>18</v>
      </c>
      <c r="AY99">
        <f>AX99*1000+AY96</f>
        <v>18016</v>
      </c>
      <c r="AZ99">
        <f>AX99*1000+AZ96</f>
        <v>18017</v>
      </c>
      <c r="BA99">
        <f>AX99*1000+BA96</f>
        <v>18018</v>
      </c>
      <c r="BB99">
        <f>AX99*1000+BB96</f>
        <v>18019</v>
      </c>
      <c r="BC99">
        <f>AX99*1000+BC96</f>
        <v>18020</v>
      </c>
      <c r="BD99">
        <f>AX99*1000+BD96</f>
        <v>18021</v>
      </c>
    </row>
    <row r="100" spans="1:56" ht="16.5" thickBot="1" x14ac:dyDescent="0.3">
      <c r="A100" s="249">
        <f>-(F95*B94^2+J95*B95^2)</f>
        <v>-3292858.7213443583</v>
      </c>
      <c r="B100" s="245">
        <f>-(F95-J95)*B94*B95</f>
        <v>-682200.01669790607</v>
      </c>
      <c r="C100" s="245">
        <f>J94*B95</f>
        <v>7050733.1819091737</v>
      </c>
      <c r="D100" s="258">
        <f>(F95*B94^2+J95*B95^2)</f>
        <v>3292858.7213443583</v>
      </c>
      <c r="E100" s="245">
        <f>(F95-J95)*B94*B95</f>
        <v>682200.01669790607</v>
      </c>
      <c r="F100" s="245">
        <f>J94*B95</f>
        <v>7050733.1819091737</v>
      </c>
      <c r="G100" s="245">
        <v>19</v>
      </c>
      <c r="H100" s="246"/>
      <c r="I100" s="246"/>
      <c r="J100" s="253"/>
      <c r="K100" s="193"/>
      <c r="L100" s="254">
        <f>-F95</f>
        <v>-3463408.7255188348</v>
      </c>
      <c r="M100" s="254">
        <v>0</v>
      </c>
      <c r="N100" s="254">
        <v>0</v>
      </c>
      <c r="O100" s="254">
        <f>F95</f>
        <v>3463408.7255188348</v>
      </c>
      <c r="P100" s="254">
        <v>0</v>
      </c>
      <c r="Q100" s="255">
        <v>0</v>
      </c>
      <c r="R100" s="259" t="s">
        <v>287</v>
      </c>
      <c r="S100" s="256">
        <v>0</v>
      </c>
      <c r="T100" s="254">
        <v>0</v>
      </c>
      <c r="U100" s="254">
        <v>0</v>
      </c>
      <c r="V100" s="254">
        <f>B94</f>
        <v>0.97014250014533188</v>
      </c>
      <c r="W100" s="254">
        <f>B95</f>
        <v>0.24253562503633297</v>
      </c>
      <c r="X100" s="255">
        <v>0</v>
      </c>
      <c r="Y100" s="260" t="s">
        <v>127</v>
      </c>
      <c r="Z100" s="254">
        <f>L100*S97+M100*S98+N100*S99+O100*S100+P100*S101+Q100*S102</f>
        <v>-3360000</v>
      </c>
      <c r="AA100" s="254">
        <f>L100*T97+M100*T98+N100*T99+O100*T100+P100*T101+Q100*T102</f>
        <v>-840000</v>
      </c>
      <c r="AB100" s="254">
        <f>L100*U97+M100*U98+N100*U99+O100*U100+P100*U101+Q100*U102</f>
        <v>0</v>
      </c>
      <c r="AC100" s="254">
        <f>L100*V97+M100*V98+N100*V99+O100*V100+P100*V101+Q100*V102</f>
        <v>3360000</v>
      </c>
      <c r="AD100" s="254">
        <f>L100*W97+M100*W98+N100*W99+O100*W100+P100*W101+Q100*W102</f>
        <v>840000</v>
      </c>
      <c r="AE100" s="255">
        <f>L100*X97+M100*X98+N100*X99+O100*X100+P100*X101+Q100*X102</f>
        <v>0</v>
      </c>
      <c r="AF100" s="259" t="s">
        <v>287</v>
      </c>
      <c r="AG100" s="257">
        <f t="shared" si="25"/>
        <v>0.56023812860037348</v>
      </c>
      <c r="AH100" s="259" t="s">
        <v>127</v>
      </c>
      <c r="AI100" s="257">
        <f>Z100*AG97+AA100*AG98+AB100*AG99+AC100*AG100+AD100*AG101+AE100*AG102</f>
        <v>1598.0045918538381</v>
      </c>
      <c r="AK100" s="296" t="s">
        <v>370</v>
      </c>
      <c r="AL100" s="293">
        <f>ABS((Z100*AG97+AA100*AG98+AB100*AG99+AC100*AG100+AD100*AG101+AE100*AG102)/((2*$B$7*$B$8)+($B$9*B15)))</f>
        <v>9.40002701090493</v>
      </c>
      <c r="AM100" s="294" t="str">
        <f t="shared" si="26"/>
        <v>&lt;</v>
      </c>
      <c r="AN100" s="295">
        <f>$F$28</f>
        <v>1440</v>
      </c>
      <c r="AO100" s="298" t="s">
        <v>378</v>
      </c>
      <c r="AP100" s="295">
        <f>(B15)/$B$9</f>
        <v>12.5</v>
      </c>
      <c r="AQ100" s="294" t="str">
        <f t="shared" si="27"/>
        <v>&lt;</v>
      </c>
      <c r="AR100" s="295">
        <f>6370/($J$28)^0.5</f>
        <v>167.86423912727147</v>
      </c>
      <c r="AX100">
        <f t="shared" si="28"/>
        <v>19</v>
      </c>
      <c r="AY100">
        <f>AX100*1000+AY96</f>
        <v>19016</v>
      </c>
      <c r="AZ100">
        <f>AX100*1000+AZ96</f>
        <v>19017</v>
      </c>
      <c r="BA100">
        <f>AX100*1000+BA96</f>
        <v>19018</v>
      </c>
      <c r="BB100">
        <f>AX100*1000+BB96</f>
        <v>19019</v>
      </c>
      <c r="BC100">
        <f>AX100*1000+BC96</f>
        <v>19020</v>
      </c>
      <c r="BD100">
        <f>AX100*1000+BD96</f>
        <v>19021</v>
      </c>
    </row>
    <row r="101" spans="1:56" ht="15.75" thickBot="1" x14ac:dyDescent="0.3">
      <c r="A101" s="249">
        <f>-(F95-J95)*B94*B95</f>
        <v>-682200.01669790607</v>
      </c>
      <c r="B101" s="245">
        <f>-(F95*B95^2+J95*B94^2)</f>
        <v>-734608.65872721036</v>
      </c>
      <c r="C101" s="245">
        <f>-J94*B94</f>
        <v>-28202932.727636695</v>
      </c>
      <c r="D101" s="245">
        <f>(F95-J95)*B94*B95</f>
        <v>682200.01669790607</v>
      </c>
      <c r="E101" s="258">
        <f>(F95*B95^2+J95*B94^2)</f>
        <v>734608.65872721036</v>
      </c>
      <c r="F101" s="245">
        <f>-J94*B94</f>
        <v>-28202932.727636695</v>
      </c>
      <c r="G101" s="245">
        <v>20</v>
      </c>
      <c r="H101" s="246"/>
      <c r="I101" s="246"/>
      <c r="J101" s="253"/>
      <c r="K101" s="193"/>
      <c r="L101" s="254">
        <v>0</v>
      </c>
      <c r="M101" s="254">
        <f>-J95</f>
        <v>-564058.65455273387</v>
      </c>
      <c r="N101" s="254">
        <f>-J94</f>
        <v>-29070917.647058822</v>
      </c>
      <c r="O101" s="254">
        <v>0</v>
      </c>
      <c r="P101" s="254">
        <f>J95</f>
        <v>564058.65455273387</v>
      </c>
      <c r="Q101" s="255">
        <f>-J94</f>
        <v>-29070917.647058822</v>
      </c>
      <c r="R101" s="193"/>
      <c r="S101" s="256">
        <v>0</v>
      </c>
      <c r="T101" s="254">
        <v>0</v>
      </c>
      <c r="U101" s="254">
        <v>0</v>
      </c>
      <c r="V101" s="254">
        <f>-B95</f>
        <v>-0.24253562503633297</v>
      </c>
      <c r="W101" s="254">
        <f>B94</f>
        <v>0.97014250014533188</v>
      </c>
      <c r="X101" s="255">
        <v>0</v>
      </c>
      <c r="Y101" s="193"/>
      <c r="Z101" s="254">
        <f>L101*S97+M101*S98+N101*S99+O101*S100+P101*S101+Q101*S102</f>
        <v>136804.31833910034</v>
      </c>
      <c r="AA101" s="254">
        <f>L101*T97+M101*T98+N101*T99+O101*T100+P101*T101+Q101*T102</f>
        <v>-547217.27335640136</v>
      </c>
      <c r="AB101" s="254">
        <f>L101*U97+M101*U98+N101*U99+O101*U100+P101*U101+Q101*U102</f>
        <v>-29070917.647058822</v>
      </c>
      <c r="AC101" s="254">
        <f>L101*V97+M101*V98+N101*V99+O101*V100+P101*V101+Q101*V102</f>
        <v>-136804.31833910034</v>
      </c>
      <c r="AD101" s="254">
        <f>L101*W97+M101*W98+N101*W99+O101*W100+P101*W101+Q101*W102</f>
        <v>547217.27335640136</v>
      </c>
      <c r="AE101" s="255">
        <f>L101*X97+M101*X98+N101*X99+O101*X100+P101*X101+Q101*X102</f>
        <v>-29070917.647058822</v>
      </c>
      <c r="AF101" s="193"/>
      <c r="AG101" s="257">
        <f t="shared" si="25"/>
        <v>-9.0840214731269825E-2</v>
      </c>
      <c r="AH101" s="257"/>
      <c r="AI101" s="257">
        <f>Z101*AG97+AA101*AG98+AB101*AG99+AC101*AG100+AD101*AG101+AE101*AG102</f>
        <v>1339.9340378449087</v>
      </c>
      <c r="AK101" s="296" t="s">
        <v>371</v>
      </c>
      <c r="AL101" s="293">
        <f>ABS((Z101*AG97+AA101*AG98+AB101*AG99+AC101*AG100+AD101*AG101+AE101*AG102)/((2*$B$7*$B$8)+($B$9*B15)))</f>
        <v>7.8819649284994631</v>
      </c>
      <c r="AM101" s="294" t="str">
        <f t="shared" si="26"/>
        <v>&lt;</v>
      </c>
      <c r="AN101" s="295">
        <f>$H$28</f>
        <v>960</v>
      </c>
      <c r="AO101" s="298" t="s">
        <v>374</v>
      </c>
      <c r="AP101" s="295">
        <f>((ABS((Z101*AG97+AA101*AG98+AB101*AG99+AC101*AG100+AD101*AG101+AE101*AG102)/((2*$B$7*$B$8)+($B$9*B15))))/$H$28)</f>
        <v>8.2103801338536068E-3</v>
      </c>
      <c r="AQ101" s="294" t="str">
        <f t="shared" si="27"/>
        <v>&lt;</v>
      </c>
      <c r="AR101" s="295">
        <v>1</v>
      </c>
      <c r="AX101">
        <f t="shared" si="28"/>
        <v>20</v>
      </c>
      <c r="AY101">
        <f>AX101*1000+AY96</f>
        <v>20016</v>
      </c>
      <c r="AZ101">
        <f>AX101*1000+AZ96</f>
        <v>20017</v>
      </c>
      <c r="BA101">
        <f>AX101*1000+BA96</f>
        <v>20018</v>
      </c>
      <c r="BB101">
        <f>AX101*1000+BB96</f>
        <v>20019</v>
      </c>
      <c r="BC101">
        <f>AX101*1000+BC96</f>
        <v>20020</v>
      </c>
      <c r="BD101">
        <f>AX101*1000+BD96</f>
        <v>20021</v>
      </c>
    </row>
    <row r="102" spans="1:56" ht="15.75" thickBot="1" x14ac:dyDescent="0.3">
      <c r="A102" s="261">
        <f>-J94*B95</f>
        <v>-7050733.1819091737</v>
      </c>
      <c r="B102" s="262">
        <f>J94*B94</f>
        <v>28202932.727636695</v>
      </c>
      <c r="C102" s="262">
        <f>H95</f>
        <v>998853867.43713295</v>
      </c>
      <c r="D102" s="262">
        <f>J94*B95</f>
        <v>7050733.1819091737</v>
      </c>
      <c r="E102" s="262">
        <f>-J94*B94</f>
        <v>-28202932.727636695</v>
      </c>
      <c r="F102" s="263">
        <f>H94</f>
        <v>1997707734.8742659</v>
      </c>
      <c r="G102" s="262">
        <v>21</v>
      </c>
      <c r="H102" s="264"/>
      <c r="I102" s="264"/>
      <c r="J102" s="265"/>
      <c r="K102" s="193"/>
      <c r="L102" s="254">
        <v>0</v>
      </c>
      <c r="M102" s="254">
        <f>J94</f>
        <v>29070917.647058822</v>
      </c>
      <c r="N102" s="254">
        <f>H95</f>
        <v>998853867.43713295</v>
      </c>
      <c r="O102" s="254">
        <v>0</v>
      </c>
      <c r="P102" s="254">
        <f>-J94</f>
        <v>-29070917.647058822</v>
      </c>
      <c r="Q102" s="255">
        <f>H94</f>
        <v>1997707734.8742659</v>
      </c>
      <c r="R102" s="193"/>
      <c r="S102" s="256">
        <v>0</v>
      </c>
      <c r="T102" s="254">
        <v>0</v>
      </c>
      <c r="U102" s="254">
        <v>0</v>
      </c>
      <c r="V102" s="254">
        <v>0</v>
      </c>
      <c r="W102" s="254">
        <v>0</v>
      </c>
      <c r="X102" s="255">
        <v>1</v>
      </c>
      <c r="Y102" s="193"/>
      <c r="Z102" s="254">
        <f>L102*S97+M102*S98+N102*S99+O102*S100+P102*S101+Q102*S102</f>
        <v>-7050733.1819091737</v>
      </c>
      <c r="AA102" s="254">
        <f>L102*T97+M102*T98+N102*T99+O102*T100+P102*T101+Q102*T102</f>
        <v>28202932.727636695</v>
      </c>
      <c r="AB102" s="254">
        <f>L102*U97+M102*U98+N102*U99+O102*U100+P102*U101+Q102*U102</f>
        <v>998853867.43713295</v>
      </c>
      <c r="AC102" s="254">
        <f>L102*V97+M102*V98+N102*V99+O102*V100+P102*V101+Q102*V102</f>
        <v>7050733.1819091737</v>
      </c>
      <c r="AD102" s="254">
        <f>L102*W97+M102*W98+N102*W99+O102*W100+P102*W101+Q102*W102</f>
        <v>-28202932.727636695</v>
      </c>
      <c r="AE102" s="255">
        <f>L102*X97+M102*X98+N102*X99+O102*X100+P102*X101+Q102*X102</f>
        <v>1997707734.8742659</v>
      </c>
      <c r="AF102" s="193"/>
      <c r="AG102" s="257">
        <f t="shared" si="25"/>
        <v>8.888352882838425E-5</v>
      </c>
      <c r="AH102" s="257"/>
      <c r="AI102" s="257">
        <f>Z102*AG97+AA102*AG98+AB102*AG99+AC102*AG100+AD102*AG101+AE102*AG102</f>
        <v>213889.69377372466</v>
      </c>
      <c r="AK102" s="296" t="s">
        <v>372</v>
      </c>
      <c r="AL102" s="293">
        <f>ABS((Z102*AG97+AA102*AG98+AB102*AG99+AC102*AG100+AD102*AG101+AE102*AG102)*($B$8+0.5*B15)/(2*((($B$7*($B$8)^3)/12)+($B$7*$B$8)*(B15+2*$B$8-0.5*$B$8-($B$8+0.5*B15))^2)+($B$9*(B15)^3)/12))</f>
        <v>126.51462323359992</v>
      </c>
      <c r="AM102" s="294" t="str">
        <f t="shared" si="26"/>
        <v>&lt;</v>
      </c>
      <c r="AN102" s="295">
        <f>$J$28</f>
        <v>1440</v>
      </c>
      <c r="AO102" s="298" t="s">
        <v>373</v>
      </c>
      <c r="AP102" s="305">
        <f>((ABS((Z100*AG97+AA100*AG98+AB100*AG99+AC100*AG100+AD100*AG101+AE100*AG102)/((2*$B$7*$B$8)+($B$9*B15))))/$F$28)+((ABS((Z102*AG97+AA102*AG98+AB102*AG99+AC102*AG100+AD102*AG101+AE102*AG102)*($B$8+0.5*B15)/(2*((($B$7*($B$8)^3)/12)+($B$7*$B$8)*(B15+2*$B$8-0.5*$B$8-($B$8+0.5*B15))^2)+($B$9*(B15)^3)/12)))/$J$28)</f>
        <v>9.4385173780906148E-2</v>
      </c>
      <c r="AQ102" s="294" t="str">
        <f t="shared" si="27"/>
        <v>&lt;</v>
      </c>
      <c r="AR102" s="295">
        <v>1</v>
      </c>
      <c r="AX102">
        <f t="shared" si="28"/>
        <v>21</v>
      </c>
      <c r="AY102">
        <f>AX102*1000+AY96</f>
        <v>21016</v>
      </c>
      <c r="AZ102">
        <f>AX102*1000+AZ96</f>
        <v>21017</v>
      </c>
      <c r="BA102">
        <f>AX102*1000+BA96</f>
        <v>21018</v>
      </c>
      <c r="BB102">
        <f>AX102*1000+BB96</f>
        <v>21019</v>
      </c>
      <c r="BC102">
        <f>AX102*1000+BC96</f>
        <v>21020</v>
      </c>
      <c r="BD102">
        <f>AX102*1000+BD96</f>
        <v>21021</v>
      </c>
    </row>
    <row r="103" spans="1:56" x14ac:dyDescent="0.25">
      <c r="A103" s="239" t="s">
        <v>279</v>
      </c>
      <c r="B103" s="240">
        <f>(D38-B38)/F38</f>
        <v>0.97014250014533188</v>
      </c>
      <c r="C103" s="241" t="s">
        <v>280</v>
      </c>
      <c r="D103" s="240">
        <f>$B$8+0.5*B16</f>
        <v>12</v>
      </c>
      <c r="E103" s="241" t="s">
        <v>30</v>
      </c>
      <c r="F103" s="242">
        <f>2*((($B$7*($B$8)^3)/12)+($B$7*$B$8)*(B16+2*$B$8-0.5*$B$8-($B$8+0.5*B16))^2)+($B$9*(B16)^3)/12</f>
        <v>15893.333333333334</v>
      </c>
      <c r="G103" s="241" t="s">
        <v>281</v>
      </c>
      <c r="H103" s="241">
        <f>4*$B$28*(2*((($B$7*($B$8)^3)/12)+($B$7*$B$8)*(B16+2*$B$8-0.5*$B$8-($B$8+0.5*B16))^2)+($B$9*(B16)^3)/12)/F38</f>
        <v>1295179043.3940239</v>
      </c>
      <c r="I103" s="241" t="s">
        <v>282</v>
      </c>
      <c r="J103" s="243">
        <f>6*$B$28*(2*((($B$7*($B$8)^3)/12)+($B$7*$B$8)*(B16+2*$B$8-0.5*$B$8-($B$8+0.5*B16))^2)+($B$9*(B16)^3)/12)/(F38^2)</f>
        <v>18847623.529411763</v>
      </c>
    </row>
    <row r="104" spans="1:56" x14ac:dyDescent="0.25">
      <c r="A104" s="244" t="s">
        <v>283</v>
      </c>
      <c r="B104" s="245">
        <f>(E38-C38)/F38</f>
        <v>0.24253562503633297</v>
      </c>
      <c r="C104" s="246" t="s">
        <v>13</v>
      </c>
      <c r="D104" s="247">
        <f>(2*$B$7*$B$8)+($B$9*B16)</f>
        <v>160</v>
      </c>
      <c r="E104" s="246" t="s">
        <v>284</v>
      </c>
      <c r="F104" s="246">
        <f>$B$28*((2*$B$7*$B$8)+($B$9*B16))/F38</f>
        <v>3259678.8004883151</v>
      </c>
      <c r="G104" s="246" t="s">
        <v>285</v>
      </c>
      <c r="H104" s="246">
        <f>2*$B$28*(2*((($B$7*($B$8)^3)/12)+($B$7*$B$8)*(B16+2*$B$8-0.5*$B$8-($B$8+0.5*B16))^2)+($B$9*(B16)^3)/12)/F38</f>
        <v>647589521.69701195</v>
      </c>
      <c r="I104" s="246" t="s">
        <v>286</v>
      </c>
      <c r="J104" s="248">
        <f>12*$B$28*(2*((($B$7*($B$8)^3)/12)+($B$7*$B$8)*(B16+2*$B$8-0.5*$B$8-($B$8+0.5*B16))^2)+($B$9*(B16)^3)/12)/(F38^3)</f>
        <v>365697.61225243023</v>
      </c>
    </row>
    <row r="105" spans="1:56" ht="15.75" thickBot="1" x14ac:dyDescent="0.3">
      <c r="A105" s="249">
        <f>G106</f>
        <v>19</v>
      </c>
      <c r="B105" s="245">
        <f>G107</f>
        <v>20</v>
      </c>
      <c r="C105" s="245">
        <f>G108</f>
        <v>21</v>
      </c>
      <c r="D105" s="245">
        <f>G109</f>
        <v>22</v>
      </c>
      <c r="E105" s="245">
        <f>G110</f>
        <v>23</v>
      </c>
      <c r="F105" s="245">
        <f>G111</f>
        <v>24</v>
      </c>
      <c r="G105" s="250"/>
      <c r="H105" s="246"/>
      <c r="I105" s="246"/>
      <c r="J105" s="251">
        <v>7</v>
      </c>
      <c r="AY105">
        <f>AX106</f>
        <v>19</v>
      </c>
      <c r="AZ105">
        <f>AX107</f>
        <v>20</v>
      </c>
      <c r="BA105">
        <f>AX108</f>
        <v>21</v>
      </c>
      <c r="BB105">
        <f>AX109</f>
        <v>22</v>
      </c>
      <c r="BC105">
        <f>AX110</f>
        <v>23</v>
      </c>
      <c r="BD105">
        <f>AX111</f>
        <v>24</v>
      </c>
    </row>
    <row r="106" spans="1:56" ht="15.75" thickBot="1" x14ac:dyDescent="0.3">
      <c r="A106" s="252">
        <f>(F104*B103^2+J104*B104^2)</f>
        <v>3089444.6129450276</v>
      </c>
      <c r="B106" s="245">
        <f>(F104-J104)*B103*B104</f>
        <v>680936.7501731494</v>
      </c>
      <c r="C106" s="245">
        <f>-J103*B104</f>
        <v>-4571220.1531553781</v>
      </c>
      <c r="D106" s="245">
        <f>-(F104*B103^2+J104*B104^2)</f>
        <v>-3089444.6129450276</v>
      </c>
      <c r="E106" s="245">
        <f>-(F104-J104)*B103*B104</f>
        <v>-680936.7501731494</v>
      </c>
      <c r="F106" s="245">
        <f>-J103*B104</f>
        <v>-4571220.1531553781</v>
      </c>
      <c r="G106" s="245">
        <v>19</v>
      </c>
      <c r="H106" s="246"/>
      <c r="I106" s="250"/>
      <c r="J106" s="253"/>
      <c r="K106" s="193"/>
      <c r="L106" s="254">
        <f>F104</f>
        <v>3259678.8004883151</v>
      </c>
      <c r="M106" s="254">
        <v>0</v>
      </c>
      <c r="N106" s="254">
        <v>0</v>
      </c>
      <c r="O106" s="254">
        <f>-F104</f>
        <v>-3259678.8004883151</v>
      </c>
      <c r="P106" s="254">
        <v>0</v>
      </c>
      <c r="Q106" s="255">
        <v>0</v>
      </c>
      <c r="R106" s="193"/>
      <c r="S106" s="256">
        <f>B103</f>
        <v>0.97014250014533188</v>
      </c>
      <c r="T106" s="254">
        <f>B104</f>
        <v>0.24253562503633297</v>
      </c>
      <c r="U106" s="254">
        <v>0</v>
      </c>
      <c r="V106" s="254">
        <v>0</v>
      </c>
      <c r="W106" s="254">
        <v>0</v>
      </c>
      <c r="X106" s="255">
        <v>0</v>
      </c>
      <c r="Y106" s="193"/>
      <c r="Z106" s="254">
        <f>L106*S106+M106*S107+N106*S108+O106*S109+P106*S110+Q106*S111</f>
        <v>3162352.9411764704</v>
      </c>
      <c r="AA106" s="254">
        <f>L106*T106+M106*T107+N106*T108+O106*T109+P106*T110+Q106*T111</f>
        <v>790588.23529411759</v>
      </c>
      <c r="AB106" s="254">
        <f>L106*U106+M106*U107+N106*U108+O106*U109+P106*U110+Q106*U111</f>
        <v>0</v>
      </c>
      <c r="AC106" s="254">
        <f>L106*V106+M106*V107+N106*V108+O106*V109+P106*V110+Q106*V111</f>
        <v>-3162352.9411764704</v>
      </c>
      <c r="AD106" s="254">
        <f>L106*W106+M106*W107+N106*W108+O106*W109+P106*W110+Q106*W111</f>
        <v>-790588.23529411759</v>
      </c>
      <c r="AE106" s="255">
        <f>L106*X106+M106*X107+N106*X108+O106*X109+P106*X110+Q106*X111</f>
        <v>0</v>
      </c>
      <c r="AF106" s="193"/>
      <c r="AG106" s="257">
        <f>G23</f>
        <v>0.56023812860037348</v>
      </c>
      <c r="AH106" s="257"/>
      <c r="AI106" s="257">
        <f>Z106*AG106+AA106*AG107+AB106*AG108+AC106*AG109+AD106*AG110+AE106*AG111</f>
        <v>-1598.0045918531978</v>
      </c>
      <c r="AK106" s="296" t="s">
        <v>367</v>
      </c>
      <c r="AL106" s="293">
        <f>ABS((Z106*AG106+AA106*AG107+AB106*AG108+AC106*AG109+AD106*AG110+AE106*AG111)/((2*$B$7*$B$8)+($B$9*B16)))</f>
        <v>9.9875286990824854</v>
      </c>
      <c r="AM106" s="294" t="str">
        <f t="shared" ref="AM106:AM111" si="29">IF(AL106&gt;AN106,"&gt;",IF(AL106&lt;AN106,"&lt;",))</f>
        <v>&lt;</v>
      </c>
      <c r="AN106" s="295">
        <f>$F$28</f>
        <v>1440</v>
      </c>
      <c r="AO106" s="298" t="s">
        <v>379</v>
      </c>
      <c r="AP106" s="295">
        <f>(ABS((Z106*AG106+AA106*AG107+AB106*AG108+AC106*AG109+AD106*AG110+AE106*AG111)/((2*$B$7*$B$8)+($B$9*B16))))/$F$28</f>
        <v>6.9357838188072816E-3</v>
      </c>
      <c r="AQ106" s="294" t="str">
        <f t="shared" ref="AQ106:AQ111" si="30">IF(AP106&gt;AR106,"&gt;",IF(AP106&lt;AR106,"&lt;",))</f>
        <v>&lt;</v>
      </c>
      <c r="AR106" s="295">
        <v>0.15</v>
      </c>
      <c r="AX106">
        <f t="shared" ref="AX106:AX111" si="31">G106</f>
        <v>19</v>
      </c>
      <c r="AY106">
        <f>AX106*1000+AY105</f>
        <v>19019</v>
      </c>
      <c r="AZ106">
        <f>AX106*1000+AZ105</f>
        <v>19020</v>
      </c>
      <c r="BA106">
        <f>AX106*1000+BA105</f>
        <v>19021</v>
      </c>
      <c r="BB106">
        <f>AX106*1000+BB105</f>
        <v>19022</v>
      </c>
      <c r="BC106">
        <f>AX106*1000+BC105</f>
        <v>19023</v>
      </c>
      <c r="BD106">
        <f>AX106*1000+BD105</f>
        <v>19024</v>
      </c>
    </row>
    <row r="107" spans="1:56" ht="15.75" thickBot="1" x14ac:dyDescent="0.3">
      <c r="A107" s="249">
        <f>(F104-J104)*B103*B104</f>
        <v>680936.7501731494</v>
      </c>
      <c r="B107" s="258">
        <f>(F104*B104^2+J104*B103^2)</f>
        <v>535931.79979571758</v>
      </c>
      <c r="C107" s="245">
        <f>J103*B103</f>
        <v>18284880.612621512</v>
      </c>
      <c r="D107" s="245">
        <f>-(F104-J104)*B103*B104</f>
        <v>-680936.7501731494</v>
      </c>
      <c r="E107" s="245">
        <f>-(F104*B104^2+J104*B103^2)</f>
        <v>-535931.79979571758</v>
      </c>
      <c r="F107" s="245">
        <f>J103*B103</f>
        <v>18284880.612621512</v>
      </c>
      <c r="G107" s="245">
        <v>20</v>
      </c>
      <c r="H107" s="246"/>
      <c r="I107" s="246"/>
      <c r="J107" s="253"/>
      <c r="K107" s="193"/>
      <c r="L107" s="254">
        <v>0</v>
      </c>
      <c r="M107" s="254">
        <f>J104</f>
        <v>365697.61225243023</v>
      </c>
      <c r="N107" s="254">
        <f>J103</f>
        <v>18847623.529411763</v>
      </c>
      <c r="O107" s="254">
        <v>0</v>
      </c>
      <c r="P107" s="254">
        <f>-J104</f>
        <v>-365697.61225243023</v>
      </c>
      <c r="Q107" s="255">
        <f>J103</f>
        <v>18847623.529411763</v>
      </c>
      <c r="R107" s="193"/>
      <c r="S107" s="256">
        <f>-B104</f>
        <v>-0.24253562503633297</v>
      </c>
      <c r="T107" s="254">
        <f>B103</f>
        <v>0.97014250014533188</v>
      </c>
      <c r="U107" s="254">
        <v>0</v>
      </c>
      <c r="V107" s="254">
        <v>0</v>
      </c>
      <c r="W107" s="254">
        <v>0</v>
      </c>
      <c r="X107" s="255">
        <v>0</v>
      </c>
      <c r="Y107" s="193"/>
      <c r="Z107" s="254">
        <f>L107*S106+M107*S107+N107*S108+O107*S109+P107*S110+Q107*S111</f>
        <v>-88694.698961937698</v>
      </c>
      <c r="AA107" s="254">
        <f>L107*T106+M107*T107+N107*T108+O107*T109+P107*T110+Q107*T111</f>
        <v>354778.79584775079</v>
      </c>
      <c r="AB107" s="254">
        <f>L107*U106+M107*U107+N107*U108+O107*U109+P107*U110+Q107*U111</f>
        <v>18847623.529411763</v>
      </c>
      <c r="AC107" s="254">
        <f>L107*V106+M107*V107+N107*V108+O107*V109+P107*V110+Q107*V111</f>
        <v>88694.698961937698</v>
      </c>
      <c r="AD107" s="254">
        <f>L107*W106+M107*W107+N107*W108+O107*W109+P107*W110+Q107*W111</f>
        <v>-354778.79584775079</v>
      </c>
      <c r="AE107" s="255">
        <f>L107*X106+M107*X107+N107*X108+O107*X109+P107*X110+Q107*X111</f>
        <v>18847623.529411763</v>
      </c>
      <c r="AF107" s="193"/>
      <c r="AG107" s="257">
        <f>G24</f>
        <v>-9.0840214731269825E-2</v>
      </c>
      <c r="AH107" s="257"/>
      <c r="AI107" s="257">
        <f>Z107*AG106+AA107*AG107+AB107*AG108+AC107*AG109+AD107*AG110+AE107*AG111</f>
        <v>-1339.934037844987</v>
      </c>
      <c r="AK107" s="296" t="s">
        <v>368</v>
      </c>
      <c r="AL107" s="293">
        <f>ABS((Z107*AG106+AA107*AG107+AB107*AG108+AC107*AG109+AD107*AG110+AE107*AG111)/((2*$B$7*$B$8)+($B$9*B16)))</f>
        <v>8.3745877365311685</v>
      </c>
      <c r="AM107" s="294" t="str">
        <f t="shared" si="29"/>
        <v>&lt;</v>
      </c>
      <c r="AN107" s="295">
        <f>$H$28</f>
        <v>960</v>
      </c>
      <c r="AO107" s="298" t="s">
        <v>374</v>
      </c>
      <c r="AP107" s="295">
        <f>((ABS((Z107*AG106+AA107*AG107+AB107*AG108+AC107*AG109+AD107*AG110+AE107*AG111)/((2*$B$7*$B$8)+($B$9*B16))))/$H$28)</f>
        <v>8.7235288922199675E-3</v>
      </c>
      <c r="AQ107" s="294" t="str">
        <f t="shared" si="30"/>
        <v>&lt;</v>
      </c>
      <c r="AR107" s="295">
        <v>1</v>
      </c>
      <c r="AX107">
        <f t="shared" si="31"/>
        <v>20</v>
      </c>
      <c r="AY107">
        <f>AX107*1000+AY105</f>
        <v>20019</v>
      </c>
      <c r="AZ107">
        <f>AX107*1000+AZ105</f>
        <v>20020</v>
      </c>
      <c r="BA107">
        <f>AX107*1000+BA105</f>
        <v>20021</v>
      </c>
      <c r="BB107">
        <f>AX107*1000+BB105</f>
        <v>20022</v>
      </c>
      <c r="BC107">
        <f>AX107*1000+BC105</f>
        <v>20023</v>
      </c>
      <c r="BD107">
        <f>AX107*1000+BD105</f>
        <v>20024</v>
      </c>
    </row>
    <row r="108" spans="1:56" ht="15.75" thickBot="1" x14ac:dyDescent="0.3">
      <c r="A108" s="249">
        <f>-J103*B104</f>
        <v>-4571220.1531553781</v>
      </c>
      <c r="B108" s="245">
        <f>J103*B103</f>
        <v>18284880.612621512</v>
      </c>
      <c r="C108" s="258">
        <f>H103</f>
        <v>1295179043.3940239</v>
      </c>
      <c r="D108" s="245">
        <f>J103*B104</f>
        <v>4571220.1531553781</v>
      </c>
      <c r="E108" s="245">
        <f>-J103*B103</f>
        <v>-18284880.612621512</v>
      </c>
      <c r="F108" s="245">
        <f>H104</f>
        <v>647589521.69701195</v>
      </c>
      <c r="G108" s="245">
        <v>21</v>
      </c>
      <c r="H108" s="246"/>
      <c r="I108" s="246"/>
      <c r="J108" s="253"/>
      <c r="K108" s="193"/>
      <c r="L108" s="254">
        <v>0</v>
      </c>
      <c r="M108" s="254">
        <f>J103</f>
        <v>18847623.529411763</v>
      </c>
      <c r="N108" s="254">
        <f>H103</f>
        <v>1295179043.3940239</v>
      </c>
      <c r="O108" s="254">
        <v>0</v>
      </c>
      <c r="P108" s="254">
        <f>-J103</f>
        <v>-18847623.529411763</v>
      </c>
      <c r="Q108" s="255">
        <f>H104</f>
        <v>647589521.69701195</v>
      </c>
      <c r="R108" s="193"/>
      <c r="S108" s="256">
        <v>0</v>
      </c>
      <c r="T108" s="254">
        <v>0</v>
      </c>
      <c r="U108" s="254">
        <v>1</v>
      </c>
      <c r="V108" s="254">
        <v>0</v>
      </c>
      <c r="W108" s="254">
        <v>0</v>
      </c>
      <c r="X108" s="255">
        <v>0</v>
      </c>
      <c r="Y108" s="193"/>
      <c r="Z108" s="254">
        <f>L108*S106+M108*S107+N108*S108+O108*S109+P108*S110+Q108*S111</f>
        <v>-4571220.1531553781</v>
      </c>
      <c r="AA108" s="254">
        <f>L108*T106+M108*T107+N108*T108+O108*T109+P108*T110+Q108*T111</f>
        <v>18284880.612621512</v>
      </c>
      <c r="AB108" s="254">
        <f>L108*U106+M108*U107+N108*U108+O108*U109+P108*U110+Q108*U111</f>
        <v>1295179043.3940239</v>
      </c>
      <c r="AC108" s="254">
        <f>L108*V106+M108*V107+N108*V108+O108*V109+P108*V110+Q108*V111</f>
        <v>4571220.1531553781</v>
      </c>
      <c r="AD108" s="254">
        <f>L108*W106+M108*W107+N108*W108+O108*W109+P108*W110+Q108*W111</f>
        <v>-18284880.612621512</v>
      </c>
      <c r="AE108" s="255">
        <f>L108*X106+M108*X107+N108*X108+O108*X109+P108*X110+Q108*X111</f>
        <v>647589521.69701195</v>
      </c>
      <c r="AF108" s="193"/>
      <c r="AG108" s="257">
        <f>G25</f>
        <v>8.888352882838425E-5</v>
      </c>
      <c r="AH108" s="257"/>
      <c r="AI108" s="257">
        <f>Z108*AG106+AA108*AG107+AB108*AG108+AC108*AG109+AD108*AG110+AE108*AG111</f>
        <v>-213889.69377372519</v>
      </c>
      <c r="AK108" s="296" t="s">
        <v>369</v>
      </c>
      <c r="AL108" s="293">
        <f>ABS((Z108*AG106+AA108*AG107+AB108*AG108+AC108*AG109+AD108*AG110+AE108*AG111)*($B$8+0.5*B16)/(2*((($B$7*($B$8)^3)/12)+($B$7*$B$8)*(B16+2*$B$8-0.5*$B$8-($B$8+0.5*B16))^2)+($B$9*(B16)^3)/12))</f>
        <v>161.49389630566498</v>
      </c>
      <c r="AM108" s="294" t="str">
        <f t="shared" si="29"/>
        <v>&lt;</v>
      </c>
      <c r="AN108" s="295">
        <f>$J$28</f>
        <v>1440</v>
      </c>
      <c r="AO108" s="298" t="s">
        <v>373</v>
      </c>
      <c r="AP108" s="305">
        <f>((ABS((Z106*AG106+AA106*AG107+AB106*AG108+AC106*AG109+AD106*AG110+AE106*AG111)/((2*$B$7*$B$8)+($B$9*B16))))/$F$28)+((ABS((Z108*AG106+AA108*AG107+AB108*AG108+AC108*AG109+AD108*AG110+AE108*AG111)*($B$8+0.5*B16)/(2*((($B$7*($B$8)^3)/12)+($B$7*$B$8)*(B16+2*$B$8-0.5*$B$8-($B$8+0.5*B16))^2)+($B$9*(B16)^3)/12)))/$J$28)</f>
        <v>0.11908432291996351</v>
      </c>
      <c r="AQ108" s="294" t="str">
        <f t="shared" si="30"/>
        <v>&lt;</v>
      </c>
      <c r="AR108" s="295">
        <v>1</v>
      </c>
      <c r="AX108">
        <f t="shared" si="31"/>
        <v>21</v>
      </c>
      <c r="AY108">
        <f>AX108*1000+AY105</f>
        <v>21019</v>
      </c>
      <c r="AZ108">
        <f>AX108*1000+AZ105</f>
        <v>21020</v>
      </c>
      <c r="BA108">
        <f>AX108*1000+BA105</f>
        <v>21021</v>
      </c>
      <c r="BB108">
        <f>AX108*1000+BB105</f>
        <v>21022</v>
      </c>
      <c r="BC108">
        <f>AX108*1000+BC105</f>
        <v>21023</v>
      </c>
      <c r="BD108">
        <f>AX108*1000+BD105</f>
        <v>21024</v>
      </c>
    </row>
    <row r="109" spans="1:56" ht="16.5" thickBot="1" x14ac:dyDescent="0.3">
      <c r="A109" s="249">
        <f>-(F104*B103^2+J104*B104^2)</f>
        <v>-3089444.6129450276</v>
      </c>
      <c r="B109" s="245">
        <f>-(F104-J104)*B103*B104</f>
        <v>-680936.7501731494</v>
      </c>
      <c r="C109" s="245">
        <f>J103*B104</f>
        <v>4571220.1531553781</v>
      </c>
      <c r="D109" s="258">
        <f>(F104*B103^2+J104*B104^2)</f>
        <v>3089444.6129450276</v>
      </c>
      <c r="E109" s="245">
        <f>(F104-J104)*B103*B104</f>
        <v>680936.7501731494</v>
      </c>
      <c r="F109" s="245">
        <f>J103*B104</f>
        <v>4571220.1531553781</v>
      </c>
      <c r="G109" s="245">
        <v>22</v>
      </c>
      <c r="H109" s="246"/>
      <c r="I109" s="246"/>
      <c r="J109" s="253"/>
      <c r="K109" s="193"/>
      <c r="L109" s="254">
        <f>-F104</f>
        <v>-3259678.8004883151</v>
      </c>
      <c r="M109" s="254">
        <v>0</v>
      </c>
      <c r="N109" s="254">
        <v>0</v>
      </c>
      <c r="O109" s="254">
        <f>F104</f>
        <v>3259678.8004883151</v>
      </c>
      <c r="P109" s="254">
        <v>0</v>
      </c>
      <c r="Q109" s="255">
        <v>0</v>
      </c>
      <c r="R109" s="259" t="s">
        <v>287</v>
      </c>
      <c r="S109" s="256">
        <v>0</v>
      </c>
      <c r="T109" s="254">
        <v>0</v>
      </c>
      <c r="U109" s="254">
        <v>0</v>
      </c>
      <c r="V109" s="254">
        <f>B103</f>
        <v>0.97014250014533188</v>
      </c>
      <c r="W109" s="254">
        <f>B104</f>
        <v>0.24253562503633297</v>
      </c>
      <c r="X109" s="255">
        <v>0</v>
      </c>
      <c r="Y109" s="260" t="s">
        <v>127</v>
      </c>
      <c r="Z109" s="254">
        <f>L109*S106+M109*S107+N109*S108+O109*S109+P109*S110+Q109*S111</f>
        <v>-3162352.9411764704</v>
      </c>
      <c r="AA109" s="254">
        <f>L109*T106+M109*T107+N109*T108+O109*T109+P109*T110+Q109*T111</f>
        <v>-790588.23529411759</v>
      </c>
      <c r="AB109" s="254">
        <f>L109*U106+M109*U107+N109*U108+O109*U109+P109*U110+Q109*U111</f>
        <v>0</v>
      </c>
      <c r="AC109" s="254">
        <f>L109*V106+M109*V107+N109*V108+O109*V109+P109*V110+Q109*V111</f>
        <v>3162352.9411764704</v>
      </c>
      <c r="AD109" s="254">
        <f>L109*W106+M109*W107+N109*W108+O109*W109+P109*W110+Q109*W111</f>
        <v>790588.23529411759</v>
      </c>
      <c r="AE109" s="255">
        <f>L109*X106+M109*X107+N109*X108+O109*X109+P109*X110+Q109*X111</f>
        <v>0</v>
      </c>
      <c r="AF109" s="259" t="s">
        <v>287</v>
      </c>
      <c r="AG109" s="257">
        <f>K7</f>
        <v>0.55201181417977163</v>
      </c>
      <c r="AH109" s="259" t="s">
        <v>127</v>
      </c>
      <c r="AI109" s="257">
        <f>Z109*AG106+AA109*AG107+AB109*AG108+AC109*AG109+AD109*AG110+AE109*AG111</f>
        <v>1598.0045918531978</v>
      </c>
      <c r="AK109" s="296" t="s">
        <v>370</v>
      </c>
      <c r="AL109" s="293">
        <f>ABS((Z109*AG106+AA109*AG107+AB109*AG108+AC109*AG109+AD109*AG110+AE109*AG111)/((2*$B$7*$B$8)+($B$9*B16)))</f>
        <v>9.9875286990824854</v>
      </c>
      <c r="AM109" s="294" t="str">
        <f t="shared" si="29"/>
        <v>&lt;</v>
      </c>
      <c r="AN109" s="295">
        <f>$F$28</f>
        <v>1440</v>
      </c>
      <c r="AO109" s="298" t="s">
        <v>378</v>
      </c>
      <c r="AP109" s="295">
        <f>(B16)/$B$9</f>
        <v>10</v>
      </c>
      <c r="AQ109" s="294" t="str">
        <f t="shared" si="30"/>
        <v>&lt;</v>
      </c>
      <c r="AR109" s="295">
        <f>6370/($J$28)^0.5</f>
        <v>167.86423912727147</v>
      </c>
      <c r="AX109">
        <f t="shared" si="31"/>
        <v>22</v>
      </c>
      <c r="AY109">
        <f>AX109*1000+AY105</f>
        <v>22019</v>
      </c>
      <c r="AZ109">
        <f>AX109*1000+AZ105</f>
        <v>22020</v>
      </c>
      <c r="BA109">
        <f>AX109*1000+BA105</f>
        <v>22021</v>
      </c>
      <c r="BB109">
        <f>AX109*1000+BB105</f>
        <v>22022</v>
      </c>
      <c r="BC109">
        <f>AX109*1000+BC105</f>
        <v>22023</v>
      </c>
      <c r="BD109">
        <f>AX109*1000+BD105</f>
        <v>22024</v>
      </c>
    </row>
    <row r="110" spans="1:56" ht="15.75" thickBot="1" x14ac:dyDescent="0.3">
      <c r="A110" s="249">
        <f>-(F104-J104)*B103*B104</f>
        <v>-680936.7501731494</v>
      </c>
      <c r="B110" s="245">
        <f>-(F104*B104^2+J104*B103^2)</f>
        <v>-535931.79979571758</v>
      </c>
      <c r="C110" s="245">
        <f>-J103*B103</f>
        <v>-18284880.612621512</v>
      </c>
      <c r="D110" s="245">
        <f>(F104-J104)*B103*B104</f>
        <v>680936.7501731494</v>
      </c>
      <c r="E110" s="258">
        <f>(F104*B104^2+J104*B103^2)</f>
        <v>535931.79979571758</v>
      </c>
      <c r="F110" s="245">
        <f>-J103*B103</f>
        <v>-18284880.612621512</v>
      </c>
      <c r="G110" s="245">
        <v>23</v>
      </c>
      <c r="H110" s="246"/>
      <c r="I110" s="246"/>
      <c r="J110" s="253"/>
      <c r="K110" s="193"/>
      <c r="L110" s="254">
        <v>0</v>
      </c>
      <c r="M110" s="254">
        <f>-J104</f>
        <v>-365697.61225243023</v>
      </c>
      <c r="N110" s="254">
        <f>-J103</f>
        <v>-18847623.529411763</v>
      </c>
      <c r="O110" s="254">
        <v>0</v>
      </c>
      <c r="P110" s="254">
        <f>J104</f>
        <v>365697.61225243023</v>
      </c>
      <c r="Q110" s="255">
        <f>-J103</f>
        <v>-18847623.529411763</v>
      </c>
      <c r="R110" s="193"/>
      <c r="S110" s="256">
        <v>0</v>
      </c>
      <c r="T110" s="254">
        <v>0</v>
      </c>
      <c r="U110" s="254">
        <v>0</v>
      </c>
      <c r="V110" s="254">
        <f>-B104</f>
        <v>-0.24253562503633297</v>
      </c>
      <c r="W110" s="254">
        <f>B103</f>
        <v>0.97014250014533188</v>
      </c>
      <c r="X110" s="255">
        <v>0</v>
      </c>
      <c r="Y110" s="193"/>
      <c r="Z110" s="254">
        <f>L110*S106+M110*S107+N110*S108+O110*S109+P110*S110+Q110*S111</f>
        <v>88694.698961937698</v>
      </c>
      <c r="AA110" s="254">
        <f>L110*T106+M110*T107+N110*T108+O110*T109+P110*T110+Q110*T111</f>
        <v>-354778.79584775079</v>
      </c>
      <c r="AB110" s="254">
        <f>L110*U106+M110*U107+N110*U108+O110*U109+P110*U110+Q110*U111</f>
        <v>-18847623.529411763</v>
      </c>
      <c r="AC110" s="254">
        <f>L110*V106+M110*V107+N110*V108+O110*V109+P110*V110+Q110*V111</f>
        <v>-88694.698961937698</v>
      </c>
      <c r="AD110" s="254">
        <f>L110*W106+M110*W107+N110*W108+O110*W109+P110*W110+Q110*W111</f>
        <v>354778.79584775079</v>
      </c>
      <c r="AE110" s="255">
        <f>L110*X106+M110*X107+N110*X108+O110*X109+P110*X110+Q110*X111</f>
        <v>-18847623.529411763</v>
      </c>
      <c r="AF110" s="193"/>
      <c r="AG110" s="257">
        <f>K8</f>
        <v>-5.5913671478809691E-2</v>
      </c>
      <c r="AH110" s="257"/>
      <c r="AI110" s="257">
        <f>Z110*AG106+AA110*AG107+AB110*AG108+AC110*AG109+AD110*AG110+AE110*AG111</f>
        <v>1339.934037844987</v>
      </c>
      <c r="AK110" s="296" t="s">
        <v>371</v>
      </c>
      <c r="AL110" s="293">
        <f>ABS((Z110*AG106+AA110*AG107+AB110*AG108+AC110*AG109+AD110*AG110+AE110*AG111)/((2*$B$7*$B$8)+($B$9*B16)))</f>
        <v>8.3745877365311685</v>
      </c>
      <c r="AM110" s="294" t="str">
        <f t="shared" si="29"/>
        <v>&lt;</v>
      </c>
      <c r="AN110" s="295">
        <f>$H$28</f>
        <v>960</v>
      </c>
      <c r="AO110" s="298" t="s">
        <v>374</v>
      </c>
      <c r="AP110" s="295">
        <f>((ABS((Z110*AG106+AA110*AG107+AB110*AG108+AC110*AG109+AD110*AG110+AE110*AG111)/((2*$B$7*$B$8)+($B$9*B16))))/$H$28)</f>
        <v>8.7235288922199675E-3</v>
      </c>
      <c r="AQ110" s="294" t="str">
        <f t="shared" si="30"/>
        <v>&lt;</v>
      </c>
      <c r="AR110" s="295">
        <v>1</v>
      </c>
      <c r="AX110">
        <f t="shared" si="31"/>
        <v>23</v>
      </c>
      <c r="AY110">
        <f>AX110*1000+AY105</f>
        <v>23019</v>
      </c>
      <c r="AZ110">
        <f>AX110*1000+AZ105</f>
        <v>23020</v>
      </c>
      <c r="BA110">
        <f>AX110*1000+BA105</f>
        <v>23021</v>
      </c>
      <c r="BB110">
        <f>AX110*1000+BB105</f>
        <v>23022</v>
      </c>
      <c r="BC110">
        <f>AX110*1000+BC105</f>
        <v>23023</v>
      </c>
      <c r="BD110">
        <f>AX110*1000+BD105</f>
        <v>23024</v>
      </c>
    </row>
    <row r="111" spans="1:56" ht="15.75" thickBot="1" x14ac:dyDescent="0.3">
      <c r="A111" s="261">
        <f>-J103*B104</f>
        <v>-4571220.1531553781</v>
      </c>
      <c r="B111" s="262">
        <f>J103*B103</f>
        <v>18284880.612621512</v>
      </c>
      <c r="C111" s="262">
        <f>H104</f>
        <v>647589521.69701195</v>
      </c>
      <c r="D111" s="262">
        <f>J103*B104</f>
        <v>4571220.1531553781</v>
      </c>
      <c r="E111" s="262">
        <f>-J103*B103</f>
        <v>-18284880.612621512</v>
      </c>
      <c r="F111" s="263">
        <f>H103</f>
        <v>1295179043.3940239</v>
      </c>
      <c r="G111" s="262">
        <v>24</v>
      </c>
      <c r="H111" s="264"/>
      <c r="I111" s="264"/>
      <c r="J111" s="265"/>
      <c r="K111" s="193"/>
      <c r="L111" s="254">
        <v>0</v>
      </c>
      <c r="M111" s="254">
        <f>J103</f>
        <v>18847623.529411763</v>
      </c>
      <c r="N111" s="254">
        <f>H104</f>
        <v>647589521.69701195</v>
      </c>
      <c r="O111" s="254">
        <v>0</v>
      </c>
      <c r="P111" s="254">
        <f>-J103</f>
        <v>-18847623.529411763</v>
      </c>
      <c r="Q111" s="255">
        <f>H103</f>
        <v>1295179043.3940239</v>
      </c>
      <c r="R111" s="193"/>
      <c r="S111" s="256">
        <v>0</v>
      </c>
      <c r="T111" s="254">
        <v>0</v>
      </c>
      <c r="U111" s="254">
        <v>0</v>
      </c>
      <c r="V111" s="254">
        <v>0</v>
      </c>
      <c r="W111" s="254">
        <v>0</v>
      </c>
      <c r="X111" s="255">
        <v>1</v>
      </c>
      <c r="Y111" s="193"/>
      <c r="Z111" s="254">
        <f>L111*S106+M111*S107+N111*S108+O111*S109+P111*S110+Q111*S111</f>
        <v>-4571220.1531553781</v>
      </c>
      <c r="AA111" s="254">
        <f>L111*T106+M111*T107+N111*T108+O111*T109+P111*T110+Q111*T111</f>
        <v>18284880.612621512</v>
      </c>
      <c r="AB111" s="254">
        <f>L111*U106+M111*U107+N111*U108+O111*U109+P111*U110+Q111*U111</f>
        <v>647589521.69701195</v>
      </c>
      <c r="AC111" s="254">
        <f>L111*V106+M111*V107+N111*V108+O111*V109+P111*V110+Q111*V111</f>
        <v>4571220.1531553781</v>
      </c>
      <c r="AD111" s="254">
        <f>L111*W106+M111*W107+N111*W108+O111*W109+P111*W110+Q111*W111</f>
        <v>-18284880.612621512</v>
      </c>
      <c r="AE111" s="255">
        <f>L111*X106+M111*X107+N111*X108+O111*X109+P111*X110+Q111*X111</f>
        <v>1295179043.3940239</v>
      </c>
      <c r="AF111" s="193"/>
      <c r="AG111" s="257">
        <f>K9</f>
        <v>5.3617635647251977E-4</v>
      </c>
      <c r="AH111" s="257"/>
      <c r="AI111" s="257">
        <f>Z111*AG106+AA111*AG107+AB111*AG108+AC111*AG109+AD111*AG110+AE111*AG111</f>
        <v>75772.454538844526</v>
      </c>
      <c r="AK111" s="296" t="s">
        <v>372</v>
      </c>
      <c r="AL111" s="293">
        <f>ABS((Z111*AG106+AA111*AG107+AB111*AG108+AC111*AG109+AD111*AG110+AE111*AG111)*($B$8+0.5*B16)/(2*((($B$7*($B$8)^3)/12)+($B$7*$B$8)*(B16+2*$B$8-0.5*$B$8-($B$8+0.5*B16))^2)+($B$9*(B16)^3)/12))</f>
        <v>57.210745876644353</v>
      </c>
      <c r="AM111" s="294" t="str">
        <f t="shared" si="29"/>
        <v>&lt;</v>
      </c>
      <c r="AN111" s="295">
        <f>$J$28</f>
        <v>1440</v>
      </c>
      <c r="AO111" s="298" t="s">
        <v>373</v>
      </c>
      <c r="AP111" s="305">
        <f>((ABS((Z109*AG106+AA109*AG107+AB109*AG108+AC109*AG109+AD109*AG110+AE109*AG111)/((2*$B$7*$B$8)+($B$9*B16))))/$F$28)+((ABS((Z111*AG106+AA111*AG107+AB111*AG108+AC111*AG109+AD111*AG110+AE111*AG111)*($B$8+0.5*B16)/(2*((($B$7*($B$8)^3)/12)+($B$7*$B$8)*(B16+2*$B$8-0.5*$B$8-($B$8+0.5*B16))^2)+($B$9*(B16)^3)/12)))/$J$28)</f>
        <v>4.6665468455365858E-2</v>
      </c>
      <c r="AQ111" s="294" t="str">
        <f t="shared" si="30"/>
        <v>&lt;</v>
      </c>
      <c r="AR111" s="295">
        <v>1</v>
      </c>
      <c r="AX111">
        <f t="shared" si="31"/>
        <v>24</v>
      </c>
      <c r="AY111">
        <f>AX111*1000+AY105</f>
        <v>24019</v>
      </c>
      <c r="AZ111">
        <f>AX111*1000+AZ105</f>
        <v>24020</v>
      </c>
      <c r="BA111">
        <f>AX111*1000+BA105</f>
        <v>24021</v>
      </c>
      <c r="BB111">
        <f>AX111*1000+BB105</f>
        <v>24022</v>
      </c>
      <c r="BC111">
        <f>AX111*1000+BC105</f>
        <v>24023</v>
      </c>
      <c r="BD111">
        <f>AX111*1000+BD105</f>
        <v>24024</v>
      </c>
    </row>
    <row r="112" spans="1:56" x14ac:dyDescent="0.25">
      <c r="A112" s="239" t="s">
        <v>279</v>
      </c>
      <c r="B112" s="240">
        <f>(D39-B39)/F39</f>
        <v>0.97014250014533188</v>
      </c>
      <c r="C112" s="241" t="s">
        <v>280</v>
      </c>
      <c r="D112" s="240">
        <f>$B$8+0.5*B17</f>
        <v>12</v>
      </c>
      <c r="E112" s="241" t="s">
        <v>30</v>
      </c>
      <c r="F112" s="242">
        <f>2*((($B$7*($B$8)^3)/12)+($B$7*$B$8)*(B17+2*$B$8-0.5*$B$8-($B$8+0.5*B17))^2)+($B$9*(B17)^3)/12</f>
        <v>15893.333333333334</v>
      </c>
      <c r="G112" s="241" t="s">
        <v>281</v>
      </c>
      <c r="H112" s="241">
        <f>4*$B$28*(2*((($B$7*($B$8)^3)/12)+($B$7*$B$8)*(B17+2*$B$8-0.5*$B$8-($B$8+0.5*B17))^2)+($B$9*(B17)^3)/12)/F39</f>
        <v>1295179043.3940239</v>
      </c>
      <c r="I112" s="241" t="s">
        <v>282</v>
      </c>
      <c r="J112" s="243">
        <f>6*$B$28*(2*((($B$7*($B$8)^3)/12)+($B$7*$B$8)*(B17+2*$B$8-0.5*$B$8-($B$8+0.5*B17))^2)+($B$9*(B17)^3)/12)/(F39^2)</f>
        <v>18847623.529411763</v>
      </c>
    </row>
    <row r="113" spans="1:56" x14ac:dyDescent="0.25">
      <c r="A113" s="244" t="s">
        <v>283</v>
      </c>
      <c r="B113" s="245">
        <f>(E39-C39)/F39</f>
        <v>0.24253562503633297</v>
      </c>
      <c r="C113" s="246" t="s">
        <v>13</v>
      </c>
      <c r="D113" s="247">
        <f>(2*$B$7*$B$8)+($B$9*B17)</f>
        <v>160</v>
      </c>
      <c r="E113" s="246" t="s">
        <v>284</v>
      </c>
      <c r="F113" s="246">
        <f>$B$28*((2*$B$7*$B$8)+($B$9*B17))/F39</f>
        <v>3259678.8004883151</v>
      </c>
      <c r="G113" s="246" t="s">
        <v>285</v>
      </c>
      <c r="H113" s="246">
        <f>2*$B$28*(2*((($B$7*($B$8)^3)/12)+($B$7*$B$8)*(B17+2*$B$8-0.5*$B$8-($B$8+0.5*B17))^2)+($B$9*(B17)^3)/12)/F39</f>
        <v>647589521.69701195</v>
      </c>
      <c r="I113" s="246" t="s">
        <v>286</v>
      </c>
      <c r="J113" s="248">
        <f>12*$B$28*(2*((($B$7*($B$8)^3)/12)+($B$7*$B$8)*(B17+2*$B$8-0.5*$B$8-($B$8+0.5*B17))^2)+($B$9*(B17)^3)/12)/(F39^3)</f>
        <v>365697.61225243023</v>
      </c>
    </row>
    <row r="114" spans="1:56" ht="15.75" thickBot="1" x14ac:dyDescent="0.3">
      <c r="A114" s="249">
        <f>G115</f>
        <v>22</v>
      </c>
      <c r="B114" s="245">
        <f>G116</f>
        <v>23</v>
      </c>
      <c r="C114" s="245">
        <f>G117</f>
        <v>24</v>
      </c>
      <c r="D114" s="245">
        <f>G118</f>
        <v>25</v>
      </c>
      <c r="E114" s="245">
        <f>G119</f>
        <v>26</v>
      </c>
      <c r="F114" s="245">
        <f>G120</f>
        <v>27</v>
      </c>
      <c r="G114" s="250"/>
      <c r="H114" s="246"/>
      <c r="I114" s="246"/>
      <c r="J114" s="251">
        <v>8</v>
      </c>
      <c r="AY114">
        <f>AX115</f>
        <v>22</v>
      </c>
      <c r="AZ114">
        <f>AX116</f>
        <v>23</v>
      </c>
      <c r="BA114">
        <f>AX117</f>
        <v>24</v>
      </c>
      <c r="BB114">
        <f>AX118</f>
        <v>25</v>
      </c>
      <c r="BC114">
        <f>AX119</f>
        <v>26</v>
      </c>
      <c r="BD114">
        <f>AX120</f>
        <v>27</v>
      </c>
    </row>
    <row r="115" spans="1:56" ht="15.75" thickBot="1" x14ac:dyDescent="0.3">
      <c r="A115" s="252">
        <f>(F113*B112^2+J113*B113^2)</f>
        <v>3089444.6129450276</v>
      </c>
      <c r="B115" s="245">
        <f>(F113-J113)*B112*B113</f>
        <v>680936.7501731494</v>
      </c>
      <c r="C115" s="245">
        <f>-J112*B113</f>
        <v>-4571220.1531553781</v>
      </c>
      <c r="D115" s="245">
        <f>-(F113*B112^2+J113*B113^2)</f>
        <v>-3089444.6129450276</v>
      </c>
      <c r="E115" s="245">
        <f>-(F113-J113)*B112*B113</f>
        <v>-680936.7501731494</v>
      </c>
      <c r="F115" s="245">
        <f>-J112*B113</f>
        <v>-4571220.1531553781</v>
      </c>
      <c r="G115" s="245">
        <v>22</v>
      </c>
      <c r="H115" s="246"/>
      <c r="I115" s="250"/>
      <c r="J115" s="253"/>
      <c r="K115" s="193"/>
      <c r="L115" s="254">
        <f>F113</f>
        <v>3259678.8004883151</v>
      </c>
      <c r="M115" s="254">
        <v>0</v>
      </c>
      <c r="N115" s="254">
        <v>0</v>
      </c>
      <c r="O115" s="254">
        <f>-F113</f>
        <v>-3259678.8004883151</v>
      </c>
      <c r="P115" s="254">
        <v>0</v>
      </c>
      <c r="Q115" s="255">
        <v>0</v>
      </c>
      <c r="R115" s="193"/>
      <c r="S115" s="256">
        <f>B112</f>
        <v>0.97014250014533188</v>
      </c>
      <c r="T115" s="254">
        <f>B113</f>
        <v>0.24253562503633297</v>
      </c>
      <c r="U115" s="254">
        <v>0</v>
      </c>
      <c r="V115" s="254">
        <v>0</v>
      </c>
      <c r="W115" s="254">
        <v>0</v>
      </c>
      <c r="X115" s="255">
        <v>0</v>
      </c>
      <c r="Y115" s="193"/>
      <c r="Z115" s="254">
        <f>L115*S115+M115*S116+N115*S117+O115*S118+P115*S119+Q115*S120</f>
        <v>3162352.9411764704</v>
      </c>
      <c r="AA115" s="254">
        <f>L115*T115+M115*T116+N115*T117+O115*T118+P115*T119+Q115*T120</f>
        <v>790588.23529411759</v>
      </c>
      <c r="AB115" s="254">
        <f>L115*U115+M115*U116+N115*U117+O115*U118+P115*U119+Q115*U120</f>
        <v>0</v>
      </c>
      <c r="AC115" s="254">
        <f>L115*V115+M115*V116+N115*V117+O115*V118+P115*V119+Q115*V120</f>
        <v>-3162352.9411764704</v>
      </c>
      <c r="AD115" s="254">
        <f>L115*W115+M115*W116+N115*W117+O115*W118+P115*W119+Q115*W120</f>
        <v>-790588.23529411759</v>
      </c>
      <c r="AE115" s="255">
        <f>L115*X115+M115*X116+N115*X117+O115*X118+P115*X119+Q115*X120</f>
        <v>0</v>
      </c>
      <c r="AF115" s="193"/>
      <c r="AG115" s="257">
        <f t="shared" ref="AG115:AG120" si="32">K7</f>
        <v>0.55201181417977163</v>
      </c>
      <c r="AH115" s="257"/>
      <c r="AI115" s="257">
        <f>Z115*AG115+AA115*AG116+AB115*AG117+AC115*AG118+AD115*AG119+AE115*AG120</f>
        <v>-1598.0045918533547</v>
      </c>
      <c r="AK115" s="296" t="s">
        <v>367</v>
      </c>
      <c r="AL115" s="293">
        <f>ABS((Z115*AG115+AA115*AG116+AB115*AG117+AC115*AG118+AD115*AG119+AE115*AG120)/((2*$B$7*$B$8)+($B$9*B17)))</f>
        <v>9.987528699083466</v>
      </c>
      <c r="AM115" s="294" t="str">
        <f t="shared" ref="AM115:AM120" si="33">IF(AL115&gt;AN115,"&gt;",IF(AL115&lt;AN115,"&lt;",))</f>
        <v>&lt;</v>
      </c>
      <c r="AN115" s="295">
        <f>$F$28</f>
        <v>1440</v>
      </c>
      <c r="AO115" s="298" t="s">
        <v>379</v>
      </c>
      <c r="AP115" s="295">
        <f>(ABS((Z115*AG115+AA115*AG116+AB115*AG117+AC115*AG118+AD115*AG119+AE115*AG120)/((2*$B$7*$B$8)+($B$9*B17))))/$F$28</f>
        <v>6.9357838188079625E-3</v>
      </c>
      <c r="AQ115" s="294" t="str">
        <f t="shared" ref="AQ115:AQ120" si="34">IF(AP115&gt;AR115,"&gt;",IF(AP115&lt;AR115,"&lt;",))</f>
        <v>&lt;</v>
      </c>
      <c r="AR115" s="295">
        <v>0.15</v>
      </c>
      <c r="AX115">
        <f t="shared" ref="AX115:AX120" si="35">G115</f>
        <v>22</v>
      </c>
      <c r="AY115">
        <f>AX115*1000+AY114</f>
        <v>22022</v>
      </c>
      <c r="AZ115">
        <f>AX115*1000+AZ114</f>
        <v>22023</v>
      </c>
      <c r="BA115">
        <f>AX115*1000+BA114</f>
        <v>22024</v>
      </c>
      <c r="BB115">
        <f>AX115*1000+BB114</f>
        <v>22025</v>
      </c>
      <c r="BC115">
        <f>AX115*1000+BC114</f>
        <v>22026</v>
      </c>
      <c r="BD115">
        <f>AX115*1000+BD114</f>
        <v>22027</v>
      </c>
    </row>
    <row r="116" spans="1:56" ht="15.75" thickBot="1" x14ac:dyDescent="0.3">
      <c r="A116" s="249">
        <f>(F113-J113)*B112*B113</f>
        <v>680936.7501731494</v>
      </c>
      <c r="B116" s="258">
        <f>(F113*B113^2+J113*B112^2)</f>
        <v>535931.79979571758</v>
      </c>
      <c r="C116" s="245">
        <f>J112*B112</f>
        <v>18284880.612621512</v>
      </c>
      <c r="D116" s="245">
        <f>-(F113-J113)*B112*B113</f>
        <v>-680936.7501731494</v>
      </c>
      <c r="E116" s="245">
        <f>-(F113*B113^2+J113*B112^2)</f>
        <v>-535931.79979571758</v>
      </c>
      <c r="F116" s="245">
        <f>J112*B112</f>
        <v>18284880.612621512</v>
      </c>
      <c r="G116" s="245">
        <v>23</v>
      </c>
      <c r="H116" s="246"/>
      <c r="I116" s="246"/>
      <c r="J116" s="253"/>
      <c r="K116" s="193"/>
      <c r="L116" s="254">
        <v>0</v>
      </c>
      <c r="M116" s="254">
        <f>J113</f>
        <v>365697.61225243023</v>
      </c>
      <c r="N116" s="254">
        <f>J112</f>
        <v>18847623.529411763</v>
      </c>
      <c r="O116" s="254">
        <v>0</v>
      </c>
      <c r="P116" s="254">
        <f>-J113</f>
        <v>-365697.61225243023</v>
      </c>
      <c r="Q116" s="255">
        <f>J112</f>
        <v>18847623.529411763</v>
      </c>
      <c r="R116" s="193"/>
      <c r="S116" s="256">
        <f>-B113</f>
        <v>-0.24253562503633297</v>
      </c>
      <c r="T116" s="254">
        <f>B112</f>
        <v>0.97014250014533188</v>
      </c>
      <c r="U116" s="254">
        <v>0</v>
      </c>
      <c r="V116" s="254">
        <v>0</v>
      </c>
      <c r="W116" s="254">
        <v>0</v>
      </c>
      <c r="X116" s="255">
        <v>0</v>
      </c>
      <c r="Y116" s="193"/>
      <c r="Z116" s="254">
        <f>L116*S115+M116*S116+N116*S117+O116*S118+P116*S119+Q116*S120</f>
        <v>-88694.698961937698</v>
      </c>
      <c r="AA116" s="254">
        <f>L116*T115+M116*T116+N116*T117+O116*T118+P116*T119+Q116*T120</f>
        <v>354778.79584775079</v>
      </c>
      <c r="AB116" s="254">
        <f>L116*U115+M116*U116+N116*U117+O116*U118+P116*U119+Q116*U120</f>
        <v>18847623.529411763</v>
      </c>
      <c r="AC116" s="254">
        <f>L116*V115+M116*V116+N116*V117+O116*V118+P116*V119+Q116*V120</f>
        <v>88694.698961937698</v>
      </c>
      <c r="AD116" s="254">
        <f>L116*W115+M116*W116+N116*W117+O116*W118+P116*W119+Q116*W120</f>
        <v>-354778.79584775079</v>
      </c>
      <c r="AE116" s="255">
        <f>L116*X115+M116*X116+N116*X117+O116*X118+P116*X119+Q116*X120</f>
        <v>18847623.529411763</v>
      </c>
      <c r="AF116" s="193"/>
      <c r="AG116" s="257">
        <f t="shared" si="32"/>
        <v>-5.5913671478809691E-2</v>
      </c>
      <c r="AH116" s="257"/>
      <c r="AI116" s="257">
        <f>Z116*AG115+AA116*AG116+AB116*AG117+AC116*AG118+AD116*AG119+AE116*AG120</f>
        <v>-1339.9340378450452</v>
      </c>
      <c r="AK116" s="296" t="s">
        <v>368</v>
      </c>
      <c r="AL116" s="293">
        <f>ABS((Z116*AG115+AA116*AG116+AB116*AG117+AC116*AG118+AD116*AG119+AE116*AG120)/((2*$B$7*$B$8)+($B$9*B17)))</f>
        <v>8.3745877365315327</v>
      </c>
      <c r="AM116" s="294" t="str">
        <f t="shared" si="33"/>
        <v>&lt;</v>
      </c>
      <c r="AN116" s="295">
        <f>$H$28</f>
        <v>960</v>
      </c>
      <c r="AO116" s="298" t="s">
        <v>374</v>
      </c>
      <c r="AP116" s="295">
        <f>((ABS((Z116*AG115+AA116*AG116+AB116*AG117+AC116*AG118+AD116*AG119+AE116*AG120)/((2*$B$7*$B$8)+($B$9*B17))))/$H$28)</f>
        <v>8.7235288922203457E-3</v>
      </c>
      <c r="AQ116" s="294" t="str">
        <f t="shared" si="34"/>
        <v>&lt;</v>
      </c>
      <c r="AR116" s="295">
        <v>1</v>
      </c>
      <c r="AX116">
        <f t="shared" si="35"/>
        <v>23</v>
      </c>
      <c r="AY116">
        <f>AX116*1000+AY114</f>
        <v>23022</v>
      </c>
      <c r="AZ116">
        <f>AX116*1000+AZ114</f>
        <v>23023</v>
      </c>
      <c r="BA116">
        <f>AX116*1000+BA114</f>
        <v>23024</v>
      </c>
      <c r="BB116">
        <f>AX116*1000+BB114</f>
        <v>23025</v>
      </c>
      <c r="BC116">
        <f>AX116*1000+BC114</f>
        <v>23026</v>
      </c>
      <c r="BD116">
        <f>AX116*1000+BD114</f>
        <v>23027</v>
      </c>
    </row>
    <row r="117" spans="1:56" ht="15.75" thickBot="1" x14ac:dyDescent="0.3">
      <c r="A117" s="249">
        <f>-J112*B113</f>
        <v>-4571220.1531553781</v>
      </c>
      <c r="B117" s="245">
        <f>J112*B112</f>
        <v>18284880.612621512</v>
      </c>
      <c r="C117" s="258">
        <f>H112</f>
        <v>1295179043.3940239</v>
      </c>
      <c r="D117" s="245">
        <f>J112*B113</f>
        <v>4571220.1531553781</v>
      </c>
      <c r="E117" s="245">
        <f>-J112*B112</f>
        <v>-18284880.612621512</v>
      </c>
      <c r="F117" s="245">
        <f>H113</f>
        <v>647589521.69701195</v>
      </c>
      <c r="G117" s="245">
        <v>24</v>
      </c>
      <c r="H117" s="246"/>
      <c r="I117" s="246"/>
      <c r="J117" s="253"/>
      <c r="K117" s="193"/>
      <c r="L117" s="254">
        <v>0</v>
      </c>
      <c r="M117" s="254">
        <f>J112</f>
        <v>18847623.529411763</v>
      </c>
      <c r="N117" s="254">
        <f>H112</f>
        <v>1295179043.3940239</v>
      </c>
      <c r="O117" s="254">
        <v>0</v>
      </c>
      <c r="P117" s="254">
        <f>-J112</f>
        <v>-18847623.529411763</v>
      </c>
      <c r="Q117" s="255">
        <f>H113</f>
        <v>647589521.69701195</v>
      </c>
      <c r="R117" s="193"/>
      <c r="S117" s="256">
        <v>0</v>
      </c>
      <c r="T117" s="254">
        <v>0</v>
      </c>
      <c r="U117" s="254">
        <v>1</v>
      </c>
      <c r="V117" s="254">
        <v>0</v>
      </c>
      <c r="W117" s="254">
        <v>0</v>
      </c>
      <c r="X117" s="255">
        <v>0</v>
      </c>
      <c r="Y117" s="193"/>
      <c r="Z117" s="254">
        <f>L117*S115+M117*S116+N117*S117+O117*S118+P117*S119+Q117*S120</f>
        <v>-4571220.1531553781</v>
      </c>
      <c r="AA117" s="254">
        <f>L117*T115+M117*T116+N117*T117+O117*T118+P117*T119+Q117*T120</f>
        <v>18284880.612621512</v>
      </c>
      <c r="AB117" s="254">
        <f>L117*U115+M117*U116+N117*U117+O117*U118+P117*U119+Q117*U120</f>
        <v>1295179043.3940239</v>
      </c>
      <c r="AC117" s="254">
        <f>L117*V115+M117*V116+N117*V117+O117*V118+P117*V119+Q117*V120</f>
        <v>4571220.1531553781</v>
      </c>
      <c r="AD117" s="254">
        <f>L117*W115+M117*W116+N117*W117+O117*W118+P117*W119+Q117*W120</f>
        <v>-18284880.612621512</v>
      </c>
      <c r="AE117" s="255">
        <f>L117*X115+M117*X116+N117*X117+O117*X118+P117*X119+Q117*X120</f>
        <v>647589521.69701195</v>
      </c>
      <c r="AF117" s="193"/>
      <c r="AG117" s="257">
        <f t="shared" si="32"/>
        <v>5.3617635647251977E-4</v>
      </c>
      <c r="AH117" s="257"/>
      <c r="AI117" s="257">
        <f>Z117*AG115+AA117*AG116+AB117*AG117+AC117*AG118+AD117*AG119+AE117*AG120</f>
        <v>-75772.454538845748</v>
      </c>
      <c r="AK117" s="296" t="s">
        <v>369</v>
      </c>
      <c r="AL117" s="293">
        <f>ABS((Z117*AG115+AA117*AG116+AB117*AG117+AC117*AG118+AD117*AG119+AE117*AG120)*($B$8+0.5*B17)/(2*((($B$7*($B$8)^3)/12)+($B$7*$B$8)*(B17+2*$B$8-0.5*$B$8-($B$8+0.5*B17))^2)+($B$9*(B17)^3)/12))</f>
        <v>57.210745876645277</v>
      </c>
      <c r="AM117" s="294" t="str">
        <f t="shared" si="33"/>
        <v>&lt;</v>
      </c>
      <c r="AN117" s="295">
        <f>$J$28</f>
        <v>1440</v>
      </c>
      <c r="AO117" s="298" t="s">
        <v>373</v>
      </c>
      <c r="AP117" s="305">
        <f>((ABS((Z115*AG115+AA115*AG116+AB115*AG117+AC115*AG118+AD115*AG119+AE115*AG120)/((2*$B$7*$B$8)+($B$9*B17))))/$F$28)+((ABS((Z117*AG115+AA117*AG116+AB117*AG117+AC117*AG118+AD117*AG119+AE117*AG120)*($B$8+0.5*B17)/(2*((($B$7*($B$8)^3)/12)+($B$7*$B$8)*(B17+2*$B$8-0.5*$B$8-($B$8+0.5*B17))^2)+($B$9*(B17)^3)/12)))/$J$28)</f>
        <v>4.6665468455367183E-2</v>
      </c>
      <c r="AQ117" s="294" t="str">
        <f t="shared" si="34"/>
        <v>&lt;</v>
      </c>
      <c r="AR117" s="295">
        <v>1</v>
      </c>
      <c r="AX117">
        <f t="shared" si="35"/>
        <v>24</v>
      </c>
      <c r="AY117">
        <f>AX117*1000+AY114</f>
        <v>24022</v>
      </c>
      <c r="AZ117">
        <f>AX117*1000+AZ114</f>
        <v>24023</v>
      </c>
      <c r="BA117">
        <f>AX117*1000+BA114</f>
        <v>24024</v>
      </c>
      <c r="BB117">
        <f>AX117*1000+BB114</f>
        <v>24025</v>
      </c>
      <c r="BC117">
        <f>AX117*1000+BC114</f>
        <v>24026</v>
      </c>
      <c r="BD117">
        <f>AX117*1000+BD114</f>
        <v>24027</v>
      </c>
    </row>
    <row r="118" spans="1:56" ht="16.5" thickBot="1" x14ac:dyDescent="0.3">
      <c r="A118" s="249">
        <f>-(F113*B112^2+J113*B113^2)</f>
        <v>-3089444.6129450276</v>
      </c>
      <c r="B118" s="245">
        <f>-(F113-J113)*B112*B113</f>
        <v>-680936.7501731494</v>
      </c>
      <c r="C118" s="245">
        <f>J112*B113</f>
        <v>4571220.1531553781</v>
      </c>
      <c r="D118" s="258">
        <f>(F113*B112^2+J113*B113^2)</f>
        <v>3089444.6129450276</v>
      </c>
      <c r="E118" s="245">
        <f>(F113-J113)*B112*B113</f>
        <v>680936.7501731494</v>
      </c>
      <c r="F118" s="245">
        <f>J112*B113</f>
        <v>4571220.1531553781</v>
      </c>
      <c r="G118" s="245">
        <v>25</v>
      </c>
      <c r="H118" s="246"/>
      <c r="I118" s="246"/>
      <c r="J118" s="253"/>
      <c r="K118" s="193"/>
      <c r="L118" s="254">
        <f>-F113</f>
        <v>-3259678.8004883151</v>
      </c>
      <c r="M118" s="254">
        <v>0</v>
      </c>
      <c r="N118" s="254">
        <v>0</v>
      </c>
      <c r="O118" s="254">
        <f>F113</f>
        <v>3259678.8004883151</v>
      </c>
      <c r="P118" s="254">
        <v>0</v>
      </c>
      <c r="Q118" s="255">
        <v>0</v>
      </c>
      <c r="R118" s="259" t="s">
        <v>287</v>
      </c>
      <c r="S118" s="256">
        <v>0</v>
      </c>
      <c r="T118" s="254">
        <v>0</v>
      </c>
      <c r="U118" s="254">
        <v>0</v>
      </c>
      <c r="V118" s="254">
        <f>B112</f>
        <v>0.97014250014533188</v>
      </c>
      <c r="W118" s="254">
        <f>B113</f>
        <v>0.24253562503633297</v>
      </c>
      <c r="X118" s="255">
        <v>0</v>
      </c>
      <c r="Y118" s="260" t="s">
        <v>127</v>
      </c>
      <c r="Z118" s="254">
        <f>L118*S115+M118*S116+N118*S117+O118*S118+P118*S119+Q118*S120</f>
        <v>-3162352.9411764704</v>
      </c>
      <c r="AA118" s="254">
        <f>L118*T115+M118*T116+N118*T117+O118*T118+P118*T119+Q118*T120</f>
        <v>-790588.23529411759</v>
      </c>
      <c r="AB118" s="254">
        <f>L118*U115+M118*U116+N118*U117+O118*U118+P118*U119+Q118*U120</f>
        <v>0</v>
      </c>
      <c r="AC118" s="254">
        <f>L118*V115+M118*V116+N118*V117+O118*V118+P118*V119+Q118*V120</f>
        <v>3162352.9411764704</v>
      </c>
      <c r="AD118" s="254">
        <f>L118*W115+M118*W116+N118*W117+O118*W118+P118*W119+Q118*W120</f>
        <v>790588.23529411759</v>
      </c>
      <c r="AE118" s="255">
        <f>L118*X115+M118*X116+N118*X117+O118*X118+P118*X119+Q118*X120</f>
        <v>0</v>
      </c>
      <c r="AF118" s="259" t="s">
        <v>287</v>
      </c>
      <c r="AG118" s="257">
        <f t="shared" si="32"/>
        <v>0.53793515382241941</v>
      </c>
      <c r="AH118" s="259" t="s">
        <v>127</v>
      </c>
      <c r="AI118" s="257">
        <f>Z118*AG115+AA118*AG116+AB118*AG117+AC118*AG118+AD118*AG119+AE118*AG120</f>
        <v>1598.0045918533547</v>
      </c>
      <c r="AK118" s="296" t="s">
        <v>370</v>
      </c>
      <c r="AL118" s="293">
        <f>ABS((Z118*AG115+AA118*AG116+AB118*AG117+AC118*AG118+AD118*AG119+AE118*AG120)/((2*$B$7*$B$8)+($B$9*B17)))</f>
        <v>9.987528699083466</v>
      </c>
      <c r="AM118" s="294" t="str">
        <f t="shared" si="33"/>
        <v>&lt;</v>
      </c>
      <c r="AN118" s="295">
        <f>$F$28</f>
        <v>1440</v>
      </c>
      <c r="AO118" s="298" t="s">
        <v>378</v>
      </c>
      <c r="AP118" s="295">
        <f>(B17)/$B$9</f>
        <v>10</v>
      </c>
      <c r="AQ118" s="294" t="str">
        <f t="shared" si="34"/>
        <v>&lt;</v>
      </c>
      <c r="AR118" s="295">
        <f>6370/($J$28)^0.5</f>
        <v>167.86423912727147</v>
      </c>
      <c r="AX118">
        <f t="shared" si="35"/>
        <v>25</v>
      </c>
      <c r="AY118">
        <f>AX118*1000+AY114</f>
        <v>25022</v>
      </c>
      <c r="AZ118">
        <f>AX118*1000+AZ114</f>
        <v>25023</v>
      </c>
      <c r="BA118">
        <f>AX118*1000+BA114</f>
        <v>25024</v>
      </c>
      <c r="BB118">
        <f>AX118*1000+BB114</f>
        <v>25025</v>
      </c>
      <c r="BC118">
        <f>AX118*1000+BC114</f>
        <v>25026</v>
      </c>
      <c r="BD118">
        <f>AX118*1000+BD114</f>
        <v>25027</v>
      </c>
    </row>
    <row r="119" spans="1:56" ht="15.75" thickBot="1" x14ac:dyDescent="0.3">
      <c r="A119" s="249">
        <f>-(F113-J113)*B112*B113</f>
        <v>-680936.7501731494</v>
      </c>
      <c r="B119" s="245">
        <f>-(F113*B113^2+J113*B112^2)</f>
        <v>-535931.79979571758</v>
      </c>
      <c r="C119" s="245">
        <f>-J112*B112</f>
        <v>-18284880.612621512</v>
      </c>
      <c r="D119" s="245">
        <f>(F113-J113)*B112*B113</f>
        <v>680936.7501731494</v>
      </c>
      <c r="E119" s="258">
        <f>(F113*B113^2+J113*B112^2)</f>
        <v>535931.79979571758</v>
      </c>
      <c r="F119" s="245">
        <f>-J112*B112</f>
        <v>-18284880.612621512</v>
      </c>
      <c r="G119" s="245">
        <v>26</v>
      </c>
      <c r="H119" s="246"/>
      <c r="I119" s="246"/>
      <c r="J119" s="253"/>
      <c r="K119" s="193"/>
      <c r="L119" s="254">
        <v>0</v>
      </c>
      <c r="M119" s="254">
        <f>-J113</f>
        <v>-365697.61225243023</v>
      </c>
      <c r="N119" s="254">
        <f>-J112</f>
        <v>-18847623.529411763</v>
      </c>
      <c r="O119" s="254">
        <v>0</v>
      </c>
      <c r="P119" s="254">
        <f>J113</f>
        <v>365697.61225243023</v>
      </c>
      <c r="Q119" s="255">
        <f>-J112</f>
        <v>-18847623.529411763</v>
      </c>
      <c r="R119" s="193"/>
      <c r="S119" s="256">
        <v>0</v>
      </c>
      <c r="T119" s="254">
        <v>0</v>
      </c>
      <c r="U119" s="254">
        <v>0</v>
      </c>
      <c r="V119" s="254">
        <f>-B113</f>
        <v>-0.24253562503633297</v>
      </c>
      <c r="W119" s="254">
        <f>B112</f>
        <v>0.97014250014533188</v>
      </c>
      <c r="X119" s="255">
        <v>0</v>
      </c>
      <c r="Y119" s="193"/>
      <c r="Z119" s="254">
        <f>L119*S115+M119*S116+N119*S117+O119*S118+P119*S119+Q119*S120</f>
        <v>88694.698961937698</v>
      </c>
      <c r="AA119" s="254">
        <f>L119*T115+M119*T116+N119*T117+O119*T118+P119*T119+Q119*T120</f>
        <v>-354778.79584775079</v>
      </c>
      <c r="AB119" s="254">
        <f>L119*U115+M119*U116+N119*U117+O119*U118+P119*U119+Q119*U120</f>
        <v>-18847623.529411763</v>
      </c>
      <c r="AC119" s="254">
        <f>L119*V115+M119*V116+N119*V117+O119*V118+P119*V119+Q119*V120</f>
        <v>-88694.698961937698</v>
      </c>
      <c r="AD119" s="254">
        <f>L119*W115+M119*W116+N119*W117+O119*W118+P119*W119+Q119*W120</f>
        <v>354778.79584775079</v>
      </c>
      <c r="AE119" s="255">
        <f>L119*X115+M119*X116+N119*X117+O119*X118+P119*X119+Q119*X120</f>
        <v>-18847623.529411763</v>
      </c>
      <c r="AF119" s="193"/>
      <c r="AG119" s="257">
        <f t="shared" si="32"/>
        <v>2.4142555206516508E-3</v>
      </c>
      <c r="AH119" s="257"/>
      <c r="AI119" s="257">
        <f>Z119*AG115+AA119*AG116+AB119*AG117+AC119*AG118+AD119*AG119+AE119*AG120</f>
        <v>1339.9340378450452</v>
      </c>
      <c r="AK119" s="296" t="s">
        <v>371</v>
      </c>
      <c r="AL119" s="293">
        <f>ABS((Z119*AG115+AA119*AG116+AB119*AG117+AC119*AG118+AD119*AG119+AE119*AG120)/((2*$B$7*$B$8)+($B$9*B17)))</f>
        <v>8.3745877365315327</v>
      </c>
      <c r="AM119" s="294" t="str">
        <f t="shared" si="33"/>
        <v>&lt;</v>
      </c>
      <c r="AN119" s="295">
        <f>$H$28</f>
        <v>960</v>
      </c>
      <c r="AO119" s="298" t="s">
        <v>374</v>
      </c>
      <c r="AP119" s="295">
        <f>((ABS((Z119*AG115+AA119*AG116+AB119*AG117+AC119*AG118+AD119*AG119+AE119*AG120)/((2*$B$7*$B$8)+($B$9*B17))))/$H$28)</f>
        <v>8.7235288922203457E-3</v>
      </c>
      <c r="AQ119" s="294" t="str">
        <f t="shared" si="34"/>
        <v>&lt;</v>
      </c>
      <c r="AR119" s="295">
        <v>1</v>
      </c>
      <c r="AX119">
        <f t="shared" si="35"/>
        <v>26</v>
      </c>
      <c r="AY119">
        <f>AX119*1000+AY114</f>
        <v>26022</v>
      </c>
      <c r="AZ119">
        <f>AX119*1000+AZ114</f>
        <v>26023</v>
      </c>
      <c r="BA119">
        <f>AX119*1000+BA114</f>
        <v>26024</v>
      </c>
      <c r="BB119">
        <f>AX119*1000+BB114</f>
        <v>26025</v>
      </c>
      <c r="BC119">
        <f>AX119*1000+BC114</f>
        <v>26026</v>
      </c>
      <c r="BD119">
        <f>AX119*1000+BD114</f>
        <v>26027</v>
      </c>
    </row>
    <row r="120" spans="1:56" ht="15.75" thickBot="1" x14ac:dyDescent="0.3">
      <c r="A120" s="261">
        <f>-J112*B113</f>
        <v>-4571220.1531553781</v>
      </c>
      <c r="B120" s="262">
        <f>J112*B112</f>
        <v>18284880.612621512</v>
      </c>
      <c r="C120" s="262">
        <f>H113</f>
        <v>647589521.69701195</v>
      </c>
      <c r="D120" s="262">
        <f>J112*B113</f>
        <v>4571220.1531553781</v>
      </c>
      <c r="E120" s="262">
        <f>-J112*B112</f>
        <v>-18284880.612621512</v>
      </c>
      <c r="F120" s="263">
        <f>H112</f>
        <v>1295179043.3940239</v>
      </c>
      <c r="G120" s="262">
        <v>27</v>
      </c>
      <c r="H120" s="264"/>
      <c r="I120" s="264"/>
      <c r="J120" s="265"/>
      <c r="K120" s="193"/>
      <c r="L120" s="254">
        <v>0</v>
      </c>
      <c r="M120" s="254">
        <f>J112</f>
        <v>18847623.529411763</v>
      </c>
      <c r="N120" s="254">
        <f>H113</f>
        <v>647589521.69701195</v>
      </c>
      <c r="O120" s="254">
        <v>0</v>
      </c>
      <c r="P120" s="254">
        <f>-J112</f>
        <v>-18847623.529411763</v>
      </c>
      <c r="Q120" s="255">
        <f>H112</f>
        <v>1295179043.3940239</v>
      </c>
      <c r="R120" s="193"/>
      <c r="S120" s="256">
        <v>0</v>
      </c>
      <c r="T120" s="254">
        <v>0</v>
      </c>
      <c r="U120" s="254">
        <v>0</v>
      </c>
      <c r="V120" s="254">
        <v>0</v>
      </c>
      <c r="W120" s="254">
        <v>0</v>
      </c>
      <c r="X120" s="255">
        <v>1</v>
      </c>
      <c r="Y120" s="193"/>
      <c r="Z120" s="254">
        <f>L120*S115+M120*S116+N120*S117+O120*S118+P120*S119+Q120*S120</f>
        <v>-4571220.1531553781</v>
      </c>
      <c r="AA120" s="254">
        <f>L120*T115+M120*T116+N120*T117+O120*T118+P120*T119+Q120*T120</f>
        <v>18284880.612621512</v>
      </c>
      <c r="AB120" s="254">
        <f>L120*U115+M120*U116+N120*U117+O120*U118+P120*U119+Q120*U120</f>
        <v>647589521.69701195</v>
      </c>
      <c r="AC120" s="254">
        <f>L120*V115+M120*V116+N120*V117+O120*V118+P120*V119+Q120*V120</f>
        <v>4571220.1531553781</v>
      </c>
      <c r="AD120" s="254">
        <f>L120*W115+M120*W116+N120*W117+O120*W118+P120*W119+Q120*W120</f>
        <v>-18284880.612621512</v>
      </c>
      <c r="AE120" s="255">
        <f>L120*X115+M120*X116+N120*X117+O120*X118+P120*X119+Q120*X120</f>
        <v>1295179043.3940239</v>
      </c>
      <c r="AF120" s="193"/>
      <c r="AG120" s="257">
        <f t="shared" si="32"/>
        <v>5.5691120376840557E-4</v>
      </c>
      <c r="AH120" s="257"/>
      <c r="AI120" s="257">
        <f>Z120*AG115+AA120*AG116+AB120*AG117+AC120*AG118+AD120*AG119+AE120*AG120</f>
        <v>-62344.784696042305</v>
      </c>
      <c r="AK120" s="296" t="s">
        <v>372</v>
      </c>
      <c r="AL120" s="293">
        <f>ABS((Z120*AG115+AA120*AG116+AB120*AG117+AC120*AG118+AD120*AG119+AE120*AG120)*($B$8+0.5*B17)/(2*((($B$7*($B$8)^3)/12)+($B$7*$B$8)*(B17+2*$B$8-0.5*$B$8-($B$8+0.5*B17))^2)+($B$9*(B17)^3)/12))</f>
        <v>47.072404552380931</v>
      </c>
      <c r="AM120" s="294" t="str">
        <f t="shared" si="33"/>
        <v>&lt;</v>
      </c>
      <c r="AN120" s="295">
        <f>$J$28</f>
        <v>1440</v>
      </c>
      <c r="AO120" s="298" t="s">
        <v>373</v>
      </c>
      <c r="AP120" s="305">
        <f>((ABS((Z118*AG115+AA118*AG116+AB118*AG117+AC118*AG118+AD118*AG119+AE118*AG120)/((2*$B$7*$B$8)+($B$9*B17))))/$F$28)+((ABS((Z120*AG115+AA120*AG116+AB120*AG117+AC120*AG118+AD120*AG119+AE120*AG120)*($B$8+0.5*B17)/(2*((($B$7*($B$8)^3)/12)+($B$7*$B$8)*(B17+2*$B$8-0.5*$B$8-($B$8+0.5*B17))^2)+($B$9*(B17)^3)/12)))/$J$28)</f>
        <v>3.9624953646850272E-2</v>
      </c>
      <c r="AQ120" s="294" t="str">
        <f t="shared" si="34"/>
        <v>&lt;</v>
      </c>
      <c r="AR120" s="295">
        <v>1</v>
      </c>
      <c r="AX120">
        <f t="shared" si="35"/>
        <v>27</v>
      </c>
      <c r="AY120">
        <f>AX120*1000+AY114</f>
        <v>27022</v>
      </c>
      <c r="AZ120">
        <f>AX120*1000+AZ114</f>
        <v>27023</v>
      </c>
      <c r="BA120">
        <f>AX120*1000+BA114</f>
        <v>27024</v>
      </c>
      <c r="BB120">
        <f>AX120*1000+BB114</f>
        <v>27025</v>
      </c>
      <c r="BC120">
        <f>AX120*1000+BC114</f>
        <v>27026</v>
      </c>
      <c r="BD120">
        <f>AX120*1000+BD114</f>
        <v>27027</v>
      </c>
    </row>
    <row r="121" spans="1:56" x14ac:dyDescent="0.25">
      <c r="A121" s="239" t="s">
        <v>279</v>
      </c>
      <c r="B121" s="240">
        <f>(D40-B40)/F40</f>
        <v>0.97014250014533188</v>
      </c>
      <c r="C121" s="241" t="s">
        <v>280</v>
      </c>
      <c r="D121" s="240">
        <f>$B$8+0.5*B18</f>
        <v>32</v>
      </c>
      <c r="E121" s="241" t="s">
        <v>30</v>
      </c>
      <c r="F121" s="242">
        <f>2*((($B$7*($B$8)^3)/12)+($B$7*$B$8)*(B18+2*$B$8-0.5*$B$8-($B$8+0.5*B18))^2)+($B$9*(B18)^3)/12</f>
        <v>151360</v>
      </c>
      <c r="G121" s="241" t="s">
        <v>281</v>
      </c>
      <c r="H121" s="241">
        <f>4*$B$28*(2*((($B$7*($B$8)^3)/12)+($B$7*$B$8)*(B18+2*$B$8-0.5*$B$8-($B$8+0.5*B18))^2)+($B$9*(B18)^3)/12)/F40</f>
        <v>12334624581.047785</v>
      </c>
      <c r="I121" s="241" t="s">
        <v>282</v>
      </c>
      <c r="J121" s="243">
        <f>6*$B$28*(2*((($B$7*($B$8)^3)/12)+($B$7*$B$8)*(B18+2*$B$8-0.5*$B$8-($B$8+0.5*B18))^2)+($B$9*(B18)^3)/12)/(F40^2)</f>
        <v>179495152.94117647</v>
      </c>
    </row>
    <row r="122" spans="1:56" x14ac:dyDescent="0.25">
      <c r="A122" s="244" t="s">
        <v>283</v>
      </c>
      <c r="B122" s="245">
        <f>(E40-C40)/F40</f>
        <v>-0.24253562503633297</v>
      </c>
      <c r="C122" s="246" t="s">
        <v>13</v>
      </c>
      <c r="D122" s="247">
        <f>(2*$B$7*$B$8)+($B$9*B18)</f>
        <v>240</v>
      </c>
      <c r="E122" s="246" t="s">
        <v>284</v>
      </c>
      <c r="F122" s="246">
        <f>$B$28*((2*$B$7*$B$8)+($B$9*B18))/F40</f>
        <v>4889518.2007324724</v>
      </c>
      <c r="G122" s="246" t="s">
        <v>285</v>
      </c>
      <c r="H122" s="246">
        <f>2*$B$28*(2*((($B$7*($B$8)^3)/12)+($B$7*$B$8)*(B18+2*$B$8-0.5*$B$8-($B$8+0.5*B18))^2)+($B$9*(B18)^3)/12)/F40</f>
        <v>6167312290.5238924</v>
      </c>
      <c r="I122" s="246" t="s">
        <v>286</v>
      </c>
      <c r="J122" s="248">
        <f>12*$B$28*(2*((($B$7*($B$8)^3)/12)+($B$7*$B$8)*(B18+2*$B$8-0.5*$B$8-($B$8+0.5*B18))^2)+($B$9*(B18)^3)/12)/(F40^3)</f>
        <v>3482717.5287664328</v>
      </c>
    </row>
    <row r="123" spans="1:56" ht="15.75" thickBot="1" x14ac:dyDescent="0.3">
      <c r="A123" s="249">
        <f>G124</f>
        <v>25</v>
      </c>
      <c r="B123" s="245">
        <f>G125</f>
        <v>26</v>
      </c>
      <c r="C123" s="245">
        <f>G126</f>
        <v>27</v>
      </c>
      <c r="D123" s="245">
        <f>G127</f>
        <v>28</v>
      </c>
      <c r="E123" s="245">
        <f>G128</f>
        <v>29</v>
      </c>
      <c r="F123" s="245">
        <f>G129</f>
        <v>30</v>
      </c>
      <c r="G123" s="250"/>
      <c r="H123" s="246"/>
      <c r="I123" s="246"/>
      <c r="J123" s="251">
        <v>9</v>
      </c>
      <c r="AY123">
        <f>AX124</f>
        <v>25</v>
      </c>
      <c r="AZ123">
        <f>AX125</f>
        <v>26</v>
      </c>
      <c r="BA123">
        <f>AX126</f>
        <v>27</v>
      </c>
      <c r="BB123">
        <f>AX127</f>
        <v>28</v>
      </c>
      <c r="BC123">
        <f>AX128</f>
        <v>29</v>
      </c>
      <c r="BD123">
        <f>AX129</f>
        <v>30</v>
      </c>
    </row>
    <row r="124" spans="1:56" ht="15.75" thickBot="1" x14ac:dyDescent="0.3">
      <c r="A124" s="252">
        <f>(F122*B121^2+J122*B122^2)</f>
        <v>4806765.2200285876</v>
      </c>
      <c r="B124" s="245">
        <f>(F122-J122)*B121*B122</f>
        <v>-331011.92281553871</v>
      </c>
      <c r="C124" s="245">
        <f>-J121*B122</f>
        <v>43533969.109580413</v>
      </c>
      <c r="D124" s="245">
        <f>-(F122*B121^2+J122*B122^2)</f>
        <v>-4806765.2200285876</v>
      </c>
      <c r="E124" s="245">
        <f>-(F122-J122)*B121*B122</f>
        <v>331011.92281553871</v>
      </c>
      <c r="F124" s="245">
        <f>-J121*B122</f>
        <v>43533969.109580413</v>
      </c>
      <c r="G124" s="245">
        <v>25</v>
      </c>
      <c r="H124" s="246"/>
      <c r="I124" s="250"/>
      <c r="J124" s="253"/>
      <c r="K124" s="193"/>
      <c r="L124" s="254">
        <f>F122</f>
        <v>4889518.2007324724</v>
      </c>
      <c r="M124" s="254">
        <v>0</v>
      </c>
      <c r="N124" s="254">
        <v>0</v>
      </c>
      <c r="O124" s="254">
        <f>-F122</f>
        <v>-4889518.2007324724</v>
      </c>
      <c r="P124" s="254">
        <v>0</v>
      </c>
      <c r="Q124" s="255">
        <v>0</v>
      </c>
      <c r="R124" s="193"/>
      <c r="S124" s="256">
        <f>B121</f>
        <v>0.97014250014533188</v>
      </c>
      <c r="T124" s="254">
        <f>B122</f>
        <v>-0.24253562503633297</v>
      </c>
      <c r="U124" s="254">
        <v>0</v>
      </c>
      <c r="V124" s="254">
        <v>0</v>
      </c>
      <c r="W124" s="254">
        <v>0</v>
      </c>
      <c r="X124" s="255">
        <v>0</v>
      </c>
      <c r="Y124" s="193"/>
      <c r="Z124" s="254">
        <f>L124*S124+M124*S125+N124*S126+O124*S127+P124*S128+Q124*S129</f>
        <v>4743529.4117647056</v>
      </c>
      <c r="AA124" s="254">
        <f>L124*T124+M124*T125+N124*T126+O124*T127+P124*T128+Q124*T129</f>
        <v>-1185882.3529411764</v>
      </c>
      <c r="AB124" s="254">
        <f>L124*U124+M124*U125+N124*U126+O124*U127+P124*U128+Q124*U129</f>
        <v>0</v>
      </c>
      <c r="AC124" s="254">
        <f>L124*V124+M124*V125+N124*V126+O124*V127+P124*V128+Q124*V129</f>
        <v>-4743529.4117647056</v>
      </c>
      <c r="AD124" s="254">
        <f>L124*W124+M124*W125+N124*W126+O124*W127+P124*W128+Q124*W129</f>
        <v>1185882.3529411764</v>
      </c>
      <c r="AE124" s="255">
        <f>L124*X124+M124*X125+N124*X126+O124*X127+P124*X128+Q124*X129</f>
        <v>0</v>
      </c>
      <c r="AF124" s="193"/>
      <c r="AG124" s="257">
        <f t="shared" ref="AG124:AG129" si="36">K10</f>
        <v>0.53793515382241941</v>
      </c>
      <c r="AH124" s="257"/>
      <c r="AI124" s="257">
        <f>Z124*AG124+AA124*AG125+AB124*AG126+AC124*AG127+AD124*AG128+AE124*AG129</f>
        <v>1585.2754867481563</v>
      </c>
      <c r="AK124" s="296" t="s">
        <v>367</v>
      </c>
      <c r="AL124" s="293">
        <f>ABS((Z124*AG124+AA124*AG125+AB124*AG126+AC124*AG127+AD124*AG128+AE124*AG129)/((2*$B$7*$B$8)+($B$9*B18)))</f>
        <v>6.6053145281173178</v>
      </c>
      <c r="AM124" s="294" t="str">
        <f t="shared" ref="AM124:AM129" si="37">IF(AL124&gt;AN124,"&gt;",IF(AL124&lt;AN124,"&lt;",))</f>
        <v>&lt;</v>
      </c>
      <c r="AN124" s="295">
        <f>$F$28</f>
        <v>1440</v>
      </c>
      <c r="AO124" s="298" t="s">
        <v>379</v>
      </c>
      <c r="AP124" s="295">
        <f>(ABS((Z124*AG124+AA124*AG125+AB124*AG126+AC124*AG127+AD124*AG128+AE124*AG129)/((2*$B$7*$B$8)+($B$9*B18))))/$F$28</f>
        <v>4.5870239778592484E-3</v>
      </c>
      <c r="AQ124" s="294" t="str">
        <f t="shared" ref="AQ124:AQ129" si="38">IF(AP124&gt;AR124,"&gt;",IF(AP124&lt;AR124,"&lt;",))</f>
        <v>&lt;</v>
      </c>
      <c r="AR124" s="295">
        <v>0.15</v>
      </c>
      <c r="AX124">
        <f t="shared" ref="AX124:AX129" si="39">G124</f>
        <v>25</v>
      </c>
      <c r="AY124">
        <f>AX124*1000+AY123</f>
        <v>25025</v>
      </c>
      <c r="AZ124">
        <f>AX124*1000+AZ123</f>
        <v>25026</v>
      </c>
      <c r="BA124">
        <f>AX124*1000+BA123</f>
        <v>25027</v>
      </c>
      <c r="BB124">
        <f>AX124*1000+BB123</f>
        <v>25028</v>
      </c>
      <c r="BC124">
        <f>AX124*1000+BC123</f>
        <v>25029</v>
      </c>
      <c r="BD124">
        <f>AX124*1000+BD123</f>
        <v>25030</v>
      </c>
    </row>
    <row r="125" spans="1:56" ht="15.75" thickBot="1" x14ac:dyDescent="0.3">
      <c r="A125" s="249">
        <f>(F122-J122)*B121*B122</f>
        <v>-331011.92281553871</v>
      </c>
      <c r="B125" s="258">
        <f>(F122*B122^2+J122*B121^2)</f>
        <v>3565470.5094703175</v>
      </c>
      <c r="C125" s="245">
        <f>J121*B121</f>
        <v>174135876.43832165</v>
      </c>
      <c r="D125" s="245">
        <f>-(F122-J122)*B121*B122</f>
        <v>331011.92281553871</v>
      </c>
      <c r="E125" s="245">
        <f>-(F122*B122^2+J122*B121^2)</f>
        <v>-3565470.5094703175</v>
      </c>
      <c r="F125" s="245">
        <f>J121*B121</f>
        <v>174135876.43832165</v>
      </c>
      <c r="G125" s="245">
        <v>26</v>
      </c>
      <c r="H125" s="246"/>
      <c r="I125" s="246"/>
      <c r="J125" s="253"/>
      <c r="K125" s="193"/>
      <c r="L125" s="254">
        <v>0</v>
      </c>
      <c r="M125" s="254">
        <f>J122</f>
        <v>3482717.5287664328</v>
      </c>
      <c r="N125" s="254">
        <f>J121</f>
        <v>179495152.94117647</v>
      </c>
      <c r="O125" s="254">
        <v>0</v>
      </c>
      <c r="P125" s="254">
        <f>-J122</f>
        <v>-3482717.5287664328</v>
      </c>
      <c r="Q125" s="255">
        <f>J121</f>
        <v>179495152.94117647</v>
      </c>
      <c r="R125" s="193"/>
      <c r="S125" s="256">
        <f>-B122</f>
        <v>0.24253562503633297</v>
      </c>
      <c r="T125" s="254">
        <f>B121</f>
        <v>0.97014250014533188</v>
      </c>
      <c r="U125" s="254">
        <v>0</v>
      </c>
      <c r="V125" s="254">
        <v>0</v>
      </c>
      <c r="W125" s="254">
        <v>0</v>
      </c>
      <c r="X125" s="255">
        <v>0</v>
      </c>
      <c r="Y125" s="193"/>
      <c r="Z125" s="254">
        <f>L125*S124+M125*S125+N125*S126+O125*S127+P125*S128+Q125*S129</f>
        <v>844683.0726643597</v>
      </c>
      <c r="AA125" s="254">
        <f>L125*T124+M125*T125+N125*T126+O125*T127+P125*T128+Q125*T129</f>
        <v>3378732.2906574388</v>
      </c>
      <c r="AB125" s="254">
        <f>L125*U124+M125*U125+N125*U126+O125*U127+P125*U128+Q125*U129</f>
        <v>179495152.94117647</v>
      </c>
      <c r="AC125" s="254">
        <f>L125*V124+M125*V125+N125*V126+O125*V127+P125*V128+Q125*V129</f>
        <v>-844683.0726643597</v>
      </c>
      <c r="AD125" s="254">
        <f>L125*W124+M125*W125+N125*W126+O125*W127+P125*W128+Q125*W129</f>
        <v>-3378732.2906574388</v>
      </c>
      <c r="AE125" s="255">
        <f>L125*X124+M125*X125+N125*X126+O125*X127+P125*X128+Q125*X129</f>
        <v>179495152.94117647</v>
      </c>
      <c r="AF125" s="193"/>
      <c r="AG125" s="257">
        <f t="shared" si="36"/>
        <v>2.4142555206516508E-3</v>
      </c>
      <c r="AH125" s="257"/>
      <c r="AI125" s="257">
        <f>Z125*AG124+AA125*AG125+AB125*AG126+AC125*AG127+AD125*AG128+AE125*AG129</f>
        <v>-1085.4222125201049</v>
      </c>
      <c r="AK125" s="296" t="s">
        <v>368</v>
      </c>
      <c r="AL125" s="293">
        <f>ABS((Z125*AG124+AA125*AG125+AB125*AG126+AC125*AG127+AD125*AG128+AE125*AG129)/((2*$B$7*$B$8)+($B$9*B18)))</f>
        <v>4.5225925521671035</v>
      </c>
      <c r="AM125" s="294" t="str">
        <f t="shared" si="37"/>
        <v>&lt;</v>
      </c>
      <c r="AN125" s="295">
        <f>$H$28</f>
        <v>960</v>
      </c>
      <c r="AO125" s="298" t="s">
        <v>374</v>
      </c>
      <c r="AP125" s="295">
        <f>((ABS((Z125*AG124+AA125*AG125+AB125*AG126+AC125*AG127+AD125*AG128+AE125*AG129)/((2*$B$7*$B$8)+($B$9*B18))))/$H$28)</f>
        <v>4.7110339085073994E-3</v>
      </c>
      <c r="AQ125" s="294" t="str">
        <f t="shared" si="38"/>
        <v>&lt;</v>
      </c>
      <c r="AR125" s="295">
        <v>1</v>
      </c>
      <c r="AX125">
        <f t="shared" si="39"/>
        <v>26</v>
      </c>
      <c r="AY125">
        <f>AX125*1000+AY123</f>
        <v>26025</v>
      </c>
      <c r="AZ125">
        <f>AX125*1000+AZ123</f>
        <v>26026</v>
      </c>
      <c r="BA125">
        <f>AX125*1000+BA123</f>
        <v>26027</v>
      </c>
      <c r="BB125">
        <f>AX125*1000+BB123</f>
        <v>26028</v>
      </c>
      <c r="BC125">
        <f>AX125*1000+BC123</f>
        <v>26029</v>
      </c>
      <c r="BD125">
        <f>AX125*1000+BD123</f>
        <v>26030</v>
      </c>
    </row>
    <row r="126" spans="1:56" ht="15.75" thickBot="1" x14ac:dyDescent="0.3">
      <c r="A126" s="249">
        <f>-J121*B122</f>
        <v>43533969.109580413</v>
      </c>
      <c r="B126" s="245">
        <f>J121*B121</f>
        <v>174135876.43832165</v>
      </c>
      <c r="C126" s="258">
        <f>H121</f>
        <v>12334624581.047785</v>
      </c>
      <c r="D126" s="245">
        <f>J121*B122</f>
        <v>-43533969.109580413</v>
      </c>
      <c r="E126" s="245">
        <f>-J121*B121</f>
        <v>-174135876.43832165</v>
      </c>
      <c r="F126" s="245">
        <f>H122</f>
        <v>6167312290.5238924</v>
      </c>
      <c r="G126" s="245">
        <v>27</v>
      </c>
      <c r="H126" s="246"/>
      <c r="I126" s="246"/>
      <c r="J126" s="253"/>
      <c r="K126" s="193"/>
      <c r="L126" s="254">
        <v>0</v>
      </c>
      <c r="M126" s="254">
        <f>J121</f>
        <v>179495152.94117647</v>
      </c>
      <c r="N126" s="254">
        <f>H121</f>
        <v>12334624581.047785</v>
      </c>
      <c r="O126" s="254">
        <v>0</v>
      </c>
      <c r="P126" s="254">
        <f>-J121</f>
        <v>-179495152.94117647</v>
      </c>
      <c r="Q126" s="255">
        <f>H122</f>
        <v>6167312290.5238924</v>
      </c>
      <c r="R126" s="193"/>
      <c r="S126" s="256">
        <v>0</v>
      </c>
      <c r="T126" s="254">
        <v>0</v>
      </c>
      <c r="U126" s="254">
        <v>1</v>
      </c>
      <c r="V126" s="254">
        <v>0</v>
      </c>
      <c r="W126" s="254">
        <v>0</v>
      </c>
      <c r="X126" s="255">
        <v>0</v>
      </c>
      <c r="Y126" s="193"/>
      <c r="Z126" s="254">
        <f>L126*S124+M126*S125+N126*S126+O126*S127+P126*S128+Q126*S129</f>
        <v>43533969.109580413</v>
      </c>
      <c r="AA126" s="254">
        <f>L126*T124+M126*T125+N126*T126+O126*T127+P126*T128+Q126*T129</f>
        <v>174135876.43832165</v>
      </c>
      <c r="AB126" s="254">
        <f>L126*U124+M126*U125+N126*U126+O126*U127+P126*U128+Q126*U129</f>
        <v>12334624581.047785</v>
      </c>
      <c r="AC126" s="254">
        <f>L126*V124+M126*V125+N126*V126+O126*V127+P126*V128+Q126*V129</f>
        <v>-43533969.109580413</v>
      </c>
      <c r="AD126" s="254">
        <f>L126*W124+M126*W125+N126*W126+O126*W127+P126*W128+Q126*W129</f>
        <v>-174135876.43832165</v>
      </c>
      <c r="AE126" s="255">
        <f>L126*X124+M126*X125+N126*X126+O126*X127+P126*X128+Q126*X129</f>
        <v>6167312290.5238924</v>
      </c>
      <c r="AF126" s="193"/>
      <c r="AG126" s="257">
        <f t="shared" si="36"/>
        <v>5.5691120376840557E-4</v>
      </c>
      <c r="AH126" s="257"/>
      <c r="AI126" s="257">
        <f>Z126*AG124+AA126*AG125+AB126*AG126+AC126*AG127+AD126*AG128+AE126*AG129</f>
        <v>62344.784696038812</v>
      </c>
      <c r="AK126" s="296" t="s">
        <v>369</v>
      </c>
      <c r="AL126" s="293">
        <f>ABS((Z126*AG124+AA126*AG125+AB126*AG126+AC126*AG127+AD126*AG128+AE126*AG129)*($B$8+0.5*B18)/(2*((($B$7*($B$8)^3)/12)+($B$7*$B$8)*(B18+2*$B$8-0.5*$B$8-($B$8+0.5*B18))^2)+($B$9*(B18)^3)/12))</f>
        <v>13.180715580557889</v>
      </c>
      <c r="AM126" s="294" t="str">
        <f t="shared" si="37"/>
        <v>&lt;</v>
      </c>
      <c r="AN126" s="295">
        <f>$J$28</f>
        <v>1440</v>
      </c>
      <c r="AO126" s="298" t="s">
        <v>373</v>
      </c>
      <c r="AP126" s="305">
        <f>((ABS((Z124*AG124+AA124*AG125+AB124*AG126+AC124*AG127+AD124*AG128+AE124*AG129)/((2*$B$7*$B$8)+($B$9*B18))))/$F$28)+((ABS((Z126*AG124+AA126*AG125+AB126*AG126+AC126*AG127+AD126*AG128+AE126*AG129)*($B$8+0.5*B18)/(2*((($B$7*($B$8)^3)/12)+($B$7*$B$8)*(B18+2*$B$8-0.5*$B$8-($B$8+0.5*B18))^2)+($B$9*(B18)^3)/12)))/$J$28)</f>
        <v>1.3740298686580006E-2</v>
      </c>
      <c r="AQ126" s="294" t="str">
        <f t="shared" si="38"/>
        <v>&lt;</v>
      </c>
      <c r="AR126" s="295">
        <v>1</v>
      </c>
      <c r="AX126">
        <f t="shared" si="39"/>
        <v>27</v>
      </c>
      <c r="AY126">
        <f>AX126*1000+AY123</f>
        <v>27025</v>
      </c>
      <c r="AZ126">
        <f>AX126*1000+AZ123</f>
        <v>27026</v>
      </c>
      <c r="BA126">
        <f>AX126*1000+BA123</f>
        <v>27027</v>
      </c>
      <c r="BB126">
        <f>AX126*1000+BB123</f>
        <v>27028</v>
      </c>
      <c r="BC126">
        <f>AX126*1000+BC123</f>
        <v>27029</v>
      </c>
      <c r="BD126">
        <f>AX126*1000+BD123</f>
        <v>27030</v>
      </c>
    </row>
    <row r="127" spans="1:56" ht="16.5" thickBot="1" x14ac:dyDescent="0.3">
      <c r="A127" s="249">
        <f>-(F122*B121^2+J122*B122^2)</f>
        <v>-4806765.2200285876</v>
      </c>
      <c r="B127" s="245">
        <f>-(F122-J122)*B121*B122</f>
        <v>331011.92281553871</v>
      </c>
      <c r="C127" s="245">
        <f>J121*B122</f>
        <v>-43533969.109580413</v>
      </c>
      <c r="D127" s="258">
        <f>(F122*B121^2+J122*B122^2)</f>
        <v>4806765.2200285876</v>
      </c>
      <c r="E127" s="245">
        <f>(F122-J122)*B121*B122</f>
        <v>-331011.92281553871</v>
      </c>
      <c r="F127" s="245">
        <f>J121*B122</f>
        <v>-43533969.109580413</v>
      </c>
      <c r="G127" s="245">
        <v>28</v>
      </c>
      <c r="H127" s="246"/>
      <c r="I127" s="246"/>
      <c r="J127" s="253"/>
      <c r="K127" s="193"/>
      <c r="L127" s="254">
        <f>-F122</f>
        <v>-4889518.2007324724</v>
      </c>
      <c r="M127" s="254">
        <v>0</v>
      </c>
      <c r="N127" s="254">
        <v>0</v>
      </c>
      <c r="O127" s="254">
        <f>F122</f>
        <v>4889518.2007324724</v>
      </c>
      <c r="P127" s="254">
        <v>0</v>
      </c>
      <c r="Q127" s="255">
        <v>0</v>
      </c>
      <c r="R127" s="259" t="s">
        <v>287</v>
      </c>
      <c r="S127" s="256">
        <v>0</v>
      </c>
      <c r="T127" s="254">
        <v>0</v>
      </c>
      <c r="U127" s="254">
        <v>0</v>
      </c>
      <c r="V127" s="254">
        <f>B121</f>
        <v>0.97014250014533188</v>
      </c>
      <c r="W127" s="254">
        <f>B122</f>
        <v>-0.24253562503633297</v>
      </c>
      <c r="X127" s="255">
        <v>0</v>
      </c>
      <c r="Y127" s="260" t="s">
        <v>127</v>
      </c>
      <c r="Z127" s="254">
        <f>L127*S124+M127*S125+N127*S126+O127*S127+P127*S128+Q127*S129</f>
        <v>-4743529.4117647056</v>
      </c>
      <c r="AA127" s="254">
        <f>L127*T124+M127*T125+N127*T126+O127*T127+P127*T128+Q127*T129</f>
        <v>1185882.3529411764</v>
      </c>
      <c r="AB127" s="254">
        <f>L127*U124+M127*U125+N127*U126+O127*U127+P127*U128+Q127*U129</f>
        <v>0</v>
      </c>
      <c r="AC127" s="254">
        <f>L127*V124+M127*V125+N127*V126+O127*V127+P127*V128+Q127*V129</f>
        <v>4743529.4117647056</v>
      </c>
      <c r="AD127" s="254">
        <f>L127*W124+M127*W125+N127*W126+O127*W127+P127*W128+Q127*W129</f>
        <v>-1185882.3529411764</v>
      </c>
      <c r="AE127" s="255">
        <f>L127*X124+M127*X125+N127*X126+O127*X127+P127*X128+Q127*X129</f>
        <v>0</v>
      </c>
      <c r="AF127" s="259" t="s">
        <v>287</v>
      </c>
      <c r="AG127" s="257">
        <f t="shared" si="36"/>
        <v>0.5511394953690697</v>
      </c>
      <c r="AH127" s="259" t="s">
        <v>127</v>
      </c>
      <c r="AI127" s="257">
        <f>Z127*AG124+AA127*AG125+AB127*AG126+AC127*AG127+AD127*AG128+AE127*AG129</f>
        <v>-1585.2754867481563</v>
      </c>
      <c r="AK127" s="296" t="s">
        <v>370</v>
      </c>
      <c r="AL127" s="293">
        <f>ABS((Z127*AG124+AA127*AG125+AB127*AG126+AC127*AG127+AD127*AG128+AE127*AG129)/((2*$B$7*$B$8)+($B$9*B18)))</f>
        <v>6.6053145281173178</v>
      </c>
      <c r="AM127" s="294" t="str">
        <f t="shared" si="37"/>
        <v>&lt;</v>
      </c>
      <c r="AN127" s="295">
        <f>$F$28</f>
        <v>1440</v>
      </c>
      <c r="AO127" s="298" t="s">
        <v>378</v>
      </c>
      <c r="AP127" s="295">
        <f>(B18)/$B$9</f>
        <v>30</v>
      </c>
      <c r="AQ127" s="294" t="str">
        <f t="shared" si="38"/>
        <v>&lt;</v>
      </c>
      <c r="AR127" s="295">
        <f>6370/($J$28)^0.5</f>
        <v>167.86423912727147</v>
      </c>
      <c r="AX127">
        <f t="shared" si="39"/>
        <v>28</v>
      </c>
      <c r="AY127">
        <f>AX127*1000+AY123</f>
        <v>28025</v>
      </c>
      <c r="AZ127">
        <f>AX127*1000+AZ123</f>
        <v>28026</v>
      </c>
      <c r="BA127">
        <f>AX127*1000+BA123</f>
        <v>28027</v>
      </c>
      <c r="BB127">
        <f>AX127*1000+BB123</f>
        <v>28028</v>
      </c>
      <c r="BC127">
        <f>AX127*1000+BC123</f>
        <v>28029</v>
      </c>
      <c r="BD127">
        <f>AX127*1000+BD123</f>
        <v>28030</v>
      </c>
    </row>
    <row r="128" spans="1:56" ht="15.75" thickBot="1" x14ac:dyDescent="0.3">
      <c r="A128" s="249">
        <f>-(F122-J122)*B121*B122</f>
        <v>331011.92281553871</v>
      </c>
      <c r="B128" s="245">
        <f>-(F122*B122^2+J122*B121^2)</f>
        <v>-3565470.5094703175</v>
      </c>
      <c r="C128" s="245">
        <f>-J121*B121</f>
        <v>-174135876.43832165</v>
      </c>
      <c r="D128" s="245">
        <f>(F122-J122)*B121*B122</f>
        <v>-331011.92281553871</v>
      </c>
      <c r="E128" s="258">
        <f>(F122*B122^2+J122*B121^2)</f>
        <v>3565470.5094703175</v>
      </c>
      <c r="F128" s="245">
        <f>-J121*B121</f>
        <v>-174135876.43832165</v>
      </c>
      <c r="G128" s="245">
        <v>29</v>
      </c>
      <c r="H128" s="246"/>
      <c r="I128" s="246"/>
      <c r="J128" s="253"/>
      <c r="K128" s="193"/>
      <c r="L128" s="254">
        <v>0</v>
      </c>
      <c r="M128" s="254">
        <f>-J122</f>
        <v>-3482717.5287664328</v>
      </c>
      <c r="N128" s="254">
        <f>-J121</f>
        <v>-179495152.94117647</v>
      </c>
      <c r="O128" s="254">
        <v>0</v>
      </c>
      <c r="P128" s="254">
        <f>J122</f>
        <v>3482717.5287664328</v>
      </c>
      <c r="Q128" s="255">
        <f>-J121</f>
        <v>-179495152.94117647</v>
      </c>
      <c r="R128" s="193"/>
      <c r="S128" s="256">
        <v>0</v>
      </c>
      <c r="T128" s="254">
        <v>0</v>
      </c>
      <c r="U128" s="254">
        <v>0</v>
      </c>
      <c r="V128" s="254">
        <f>-B122</f>
        <v>0.24253562503633297</v>
      </c>
      <c r="W128" s="254">
        <f>B121</f>
        <v>0.97014250014533188</v>
      </c>
      <c r="X128" s="255">
        <v>0</v>
      </c>
      <c r="Y128" s="193"/>
      <c r="Z128" s="254">
        <f>L128*S124+M128*S125+N128*S126+O128*S127+P128*S128+Q128*S129</f>
        <v>-844683.0726643597</v>
      </c>
      <c r="AA128" s="254">
        <f>L128*T124+M128*T125+N128*T126+O128*T127+P128*T128+Q128*T129</f>
        <v>-3378732.2906574388</v>
      </c>
      <c r="AB128" s="254">
        <f>L128*U124+M128*U125+N128*U126+O128*U127+P128*U128+Q128*U129</f>
        <v>-179495152.94117647</v>
      </c>
      <c r="AC128" s="254">
        <f>L128*V124+M128*V125+N128*V126+O128*V127+P128*V128+Q128*V129</f>
        <v>844683.0726643597</v>
      </c>
      <c r="AD128" s="254">
        <f>L128*W124+M128*W125+N128*W126+O128*W127+P128*W128+Q128*W129</f>
        <v>3378732.2906574388</v>
      </c>
      <c r="AE128" s="255">
        <f>L128*X124+M128*X125+N128*X126+O128*X127+P128*X128+Q128*X129</f>
        <v>-179495152.94117647</v>
      </c>
      <c r="AF128" s="193"/>
      <c r="AG128" s="257">
        <f t="shared" si="36"/>
        <v>5.6568411552229296E-2</v>
      </c>
      <c r="AH128" s="257"/>
      <c r="AI128" s="257">
        <f>Z128*AG124+AA128*AG125+AB128*AG126+AC128*AG127+AD128*AG128+AE128*AG129</f>
        <v>1085.4222125201049</v>
      </c>
      <c r="AK128" s="296" t="s">
        <v>371</v>
      </c>
      <c r="AL128" s="293">
        <f>ABS((Z128*AG124+AA128*AG125+AB128*AG126+AC128*AG127+AD128*AG128+AE128*AG129)/((2*$B$7*$B$8)+($B$9*B18)))</f>
        <v>4.5225925521671035</v>
      </c>
      <c r="AM128" s="294" t="str">
        <f t="shared" si="37"/>
        <v>&lt;</v>
      </c>
      <c r="AN128" s="295">
        <f>$H$28</f>
        <v>960</v>
      </c>
      <c r="AO128" s="298" t="s">
        <v>374</v>
      </c>
      <c r="AP128" s="295">
        <f>((ABS((Z128*AG124+AA128*AG125+AB128*AG126+AC128*AG127+AD128*AG128+AE128*AG129)/((2*$B$7*$B$8)+($B$9*B18))))/$H$28)</f>
        <v>4.7110339085073994E-3</v>
      </c>
      <c r="AQ128" s="294" t="str">
        <f t="shared" si="38"/>
        <v>&lt;</v>
      </c>
      <c r="AR128" s="295">
        <v>1</v>
      </c>
      <c r="AX128">
        <f t="shared" si="39"/>
        <v>29</v>
      </c>
      <c r="AY128">
        <f>AX128*1000+AY123</f>
        <v>29025</v>
      </c>
      <c r="AZ128">
        <f>AX128*1000+AZ123</f>
        <v>29026</v>
      </c>
      <c r="BA128">
        <f>AX128*1000+BA123</f>
        <v>29027</v>
      </c>
      <c r="BB128">
        <f>AX128*1000+BB123</f>
        <v>29028</v>
      </c>
      <c r="BC128">
        <f>AX128*1000+BC123</f>
        <v>29029</v>
      </c>
      <c r="BD128">
        <f>AX128*1000+BD123</f>
        <v>29030</v>
      </c>
    </row>
    <row r="129" spans="1:56" ht="15.75" thickBot="1" x14ac:dyDescent="0.3">
      <c r="A129" s="261">
        <f>-J121*B122</f>
        <v>43533969.109580413</v>
      </c>
      <c r="B129" s="262">
        <f>J121*B121</f>
        <v>174135876.43832165</v>
      </c>
      <c r="C129" s="262">
        <f>H122</f>
        <v>6167312290.5238924</v>
      </c>
      <c r="D129" s="262">
        <f>J121*B122</f>
        <v>-43533969.109580413</v>
      </c>
      <c r="E129" s="262">
        <f>-J121*B121</f>
        <v>-174135876.43832165</v>
      </c>
      <c r="F129" s="263">
        <f>H121</f>
        <v>12334624581.047785</v>
      </c>
      <c r="G129" s="262">
        <v>30</v>
      </c>
      <c r="H129" s="264"/>
      <c r="I129" s="264"/>
      <c r="J129" s="265"/>
      <c r="K129" s="193"/>
      <c r="L129" s="254">
        <v>0</v>
      </c>
      <c r="M129" s="254">
        <f>J121</f>
        <v>179495152.94117647</v>
      </c>
      <c r="N129" s="254">
        <f>H122</f>
        <v>6167312290.5238924</v>
      </c>
      <c r="O129" s="254">
        <v>0</v>
      </c>
      <c r="P129" s="254">
        <f>-J121</f>
        <v>-179495152.94117647</v>
      </c>
      <c r="Q129" s="255">
        <f>H121</f>
        <v>12334624581.047785</v>
      </c>
      <c r="R129" s="193"/>
      <c r="S129" s="256">
        <v>0</v>
      </c>
      <c r="T129" s="254">
        <v>0</v>
      </c>
      <c r="U129" s="254">
        <v>0</v>
      </c>
      <c r="V129" s="254">
        <v>0</v>
      </c>
      <c r="W129" s="254">
        <v>0</v>
      </c>
      <c r="X129" s="255">
        <v>1</v>
      </c>
      <c r="Y129" s="193"/>
      <c r="Z129" s="254">
        <f>L129*S124+M129*S125+N129*S126+O129*S127+P129*S128+Q129*S129</f>
        <v>43533969.109580413</v>
      </c>
      <c r="AA129" s="254">
        <f>L129*T124+M129*T125+N129*T126+O129*T127+P129*T128+Q129*T129</f>
        <v>174135876.43832165</v>
      </c>
      <c r="AB129" s="254">
        <f>L129*U124+M129*U125+N129*U126+O129*U127+P129*U128+Q129*U129</f>
        <v>6167312290.5238924</v>
      </c>
      <c r="AC129" s="254">
        <f>L129*V124+M129*V125+N129*V126+O129*V127+P129*V128+Q129*V129</f>
        <v>-43533969.109580413</v>
      </c>
      <c r="AD129" s="254">
        <f>L129*W124+M129*W125+N129*W126+O129*W127+P129*W128+Q129*W129</f>
        <v>-174135876.43832165</v>
      </c>
      <c r="AE129" s="255">
        <f>L129*X124+M129*X125+N129*X126+O129*X127+P129*X128+Q129*X129</f>
        <v>12334624581.047785</v>
      </c>
      <c r="AF129" s="193"/>
      <c r="AG129" s="257">
        <f t="shared" si="36"/>
        <v>5.1855213923378339E-4</v>
      </c>
      <c r="AH129" s="257"/>
      <c r="AI129" s="257">
        <f>Z129*AG124+AA129*AG125+AB129*AG126+AC129*AG127+AD129*AG128+AE129*AG129</f>
        <v>-174227.54546133801</v>
      </c>
      <c r="AK129" s="296" t="s">
        <v>372</v>
      </c>
      <c r="AL129" s="293">
        <f>ABS((Z129*AG124+AA129*AG125+AB129*AG126+AC129*AG127+AD129*AG128+AE129*AG129)*($B$8+0.5*B18)/(2*((($B$7*($B$8)^3)/12)+($B$7*$B$8)*(B18+2*$B$8-0.5*$B$8-($B$8+0.5*B18))^2)+($B$9*(B18)^3)/12))</f>
        <v>36.834576207471038</v>
      </c>
      <c r="AM129" s="294" t="str">
        <f t="shared" si="37"/>
        <v>&lt;</v>
      </c>
      <c r="AN129" s="295">
        <f>$J$28</f>
        <v>1440</v>
      </c>
      <c r="AO129" s="298" t="s">
        <v>373</v>
      </c>
      <c r="AP129" s="305">
        <f>((ABS((Z127*AG124+AA127*AG125+AB127*AG126+AC127*AG127+AD127*AG128+AE127*AG129)/((2*$B$7*$B$8)+($B$9*B18))))/$F$28)+((ABS((Z129*AG124+AA129*AG125+AB129*AG126+AC129*AG127+AD129*AG128+AE129*AG129)*($B$8+0.5*B18)/(2*((($B$7*($B$8)^3)/12)+($B$7*$B$8)*(B18+2*$B$8-0.5*$B$8-($B$8+0.5*B18))^2)+($B$9*(B18)^3)/12)))/$J$28)</f>
        <v>3.0166590788603023E-2</v>
      </c>
      <c r="AQ129" s="294" t="str">
        <f t="shared" si="38"/>
        <v>&lt;</v>
      </c>
      <c r="AR129" s="295">
        <v>1</v>
      </c>
      <c r="AX129">
        <f t="shared" si="39"/>
        <v>30</v>
      </c>
      <c r="AY129">
        <f>AX129*1000+AY123</f>
        <v>30025</v>
      </c>
      <c r="AZ129">
        <f>AX129*1000+AZ123</f>
        <v>30026</v>
      </c>
      <c r="BA129">
        <f>AX129*1000+BA123</f>
        <v>30027</v>
      </c>
      <c r="BB129">
        <f>AX129*1000+BB123</f>
        <v>30028</v>
      </c>
      <c r="BC129">
        <f>AX129*1000+BC123</f>
        <v>30029</v>
      </c>
      <c r="BD129">
        <f>AX129*1000+BD123</f>
        <v>30030</v>
      </c>
    </row>
    <row r="130" spans="1:56" x14ac:dyDescent="0.25">
      <c r="A130" s="239" t="s">
        <v>279</v>
      </c>
      <c r="B130" s="240">
        <f>(D41-B41)/F41</f>
        <v>0.97014250014533188</v>
      </c>
      <c r="C130" s="241" t="s">
        <v>280</v>
      </c>
      <c r="D130" s="240">
        <f>$B$8+0.5*B19</f>
        <v>14.5</v>
      </c>
      <c r="E130" s="241" t="s">
        <v>30</v>
      </c>
      <c r="F130" s="242">
        <f>2*((($B$7*($B$8)^3)/12)+($B$7*$B$8)*(B19+2*$B$8-0.5*$B$8-($B$8+0.5*B19))^2)+($B$9*(B19)^3)/12</f>
        <v>24514.166666666668</v>
      </c>
      <c r="G130" s="241" t="s">
        <v>281</v>
      </c>
      <c r="H130" s="241">
        <f>4*$B$28*(2*((($B$7*($B$8)^3)/12)+($B$7*$B$8)*(B19+2*$B$8-0.5*$B$8-($B$8+0.5*B19))^2)+($B$9*(B19)^3)/12)/F41</f>
        <v>1997707734.8742659</v>
      </c>
      <c r="I130" s="241" t="s">
        <v>282</v>
      </c>
      <c r="J130" s="243">
        <f>6*$B$28*(2*((($B$7*($B$8)^3)/12)+($B$7*$B$8)*(B19+2*$B$8-0.5*$B$8-($B$8+0.5*B19))^2)+($B$9*(B19)^3)/12)/(F41^2)</f>
        <v>29070917.647058822</v>
      </c>
    </row>
    <row r="131" spans="1:56" x14ac:dyDescent="0.25">
      <c r="A131" s="244" t="s">
        <v>283</v>
      </c>
      <c r="B131" s="245">
        <f>(E41-C41)/F41</f>
        <v>-0.24253562503633297</v>
      </c>
      <c r="C131" s="246" t="s">
        <v>13</v>
      </c>
      <c r="D131" s="247">
        <f>(2*$B$7*$B$8)+($B$9*B19)</f>
        <v>170</v>
      </c>
      <c r="E131" s="246" t="s">
        <v>284</v>
      </c>
      <c r="F131" s="246">
        <f>$B$28*((2*$B$7*$B$8)+($B$9*B19))/F41</f>
        <v>3463408.7255188348</v>
      </c>
      <c r="G131" s="246" t="s">
        <v>285</v>
      </c>
      <c r="H131" s="246">
        <f>2*$B$28*(2*((($B$7*($B$8)^3)/12)+($B$7*$B$8)*(B19+2*$B$8-0.5*$B$8-($B$8+0.5*B19))^2)+($B$9*(B19)^3)/12)/F41</f>
        <v>998853867.43713295</v>
      </c>
      <c r="I131" s="246" t="s">
        <v>286</v>
      </c>
      <c r="J131" s="248">
        <f>12*$B$28*(2*((($B$7*($B$8)^3)/12)+($B$7*$B$8)*(B19+2*$B$8-0.5*$B$8-($B$8+0.5*B19))^2)+($B$9*(B19)^3)/12)/(F41^3)</f>
        <v>564058.65455273387</v>
      </c>
    </row>
    <row r="132" spans="1:56" ht="15.75" thickBot="1" x14ac:dyDescent="0.3">
      <c r="A132" s="249">
        <f>G133</f>
        <v>28</v>
      </c>
      <c r="B132" s="245">
        <f>G134</f>
        <v>29</v>
      </c>
      <c r="C132" s="245">
        <f>G135</f>
        <v>30</v>
      </c>
      <c r="D132" s="245">
        <f>G136</f>
        <v>31</v>
      </c>
      <c r="E132" s="245">
        <f>G137</f>
        <v>32</v>
      </c>
      <c r="F132" s="245">
        <f>G138</f>
        <v>33</v>
      </c>
      <c r="G132" s="250"/>
      <c r="H132" s="246"/>
      <c r="I132" s="246"/>
      <c r="J132" s="251">
        <v>10</v>
      </c>
      <c r="AY132">
        <f>AX133</f>
        <v>28</v>
      </c>
      <c r="AZ132">
        <f>AX134</f>
        <v>29</v>
      </c>
      <c r="BA132">
        <f>AX135</f>
        <v>30</v>
      </c>
      <c r="BB132">
        <f>AX136</f>
        <v>31</v>
      </c>
      <c r="BC132">
        <f>AX137</f>
        <v>32</v>
      </c>
      <c r="BD132">
        <f>AX138</f>
        <v>33</v>
      </c>
    </row>
    <row r="133" spans="1:56" ht="15.75" thickBot="1" x14ac:dyDescent="0.3">
      <c r="A133" s="252">
        <f>(F131*B130^2+J131*B131^2)</f>
        <v>3292858.7213443583</v>
      </c>
      <c r="B133" s="245">
        <f>(F131-J131)*B130*B131</f>
        <v>-682200.01669790607</v>
      </c>
      <c r="C133" s="245">
        <f>-J130*B131</f>
        <v>7050733.1819091737</v>
      </c>
      <c r="D133" s="245">
        <f>-(F131*B130^2+J131*B131^2)</f>
        <v>-3292858.7213443583</v>
      </c>
      <c r="E133" s="245">
        <f>-(F131-J131)*B130*B131</f>
        <v>682200.01669790607</v>
      </c>
      <c r="F133" s="245">
        <f>-J130*B131</f>
        <v>7050733.1819091737</v>
      </c>
      <c r="G133" s="245">
        <v>28</v>
      </c>
      <c r="H133" s="246"/>
      <c r="I133" s="250"/>
      <c r="J133" s="253"/>
      <c r="K133" s="193"/>
      <c r="L133" s="254">
        <f>F131</f>
        <v>3463408.7255188348</v>
      </c>
      <c r="M133" s="254">
        <v>0</v>
      </c>
      <c r="N133" s="254">
        <v>0</v>
      </c>
      <c r="O133" s="254">
        <f>-F131</f>
        <v>-3463408.7255188348</v>
      </c>
      <c r="P133" s="254">
        <v>0</v>
      </c>
      <c r="Q133" s="255">
        <v>0</v>
      </c>
      <c r="R133" s="193"/>
      <c r="S133" s="256">
        <f>B130</f>
        <v>0.97014250014533188</v>
      </c>
      <c r="T133" s="254">
        <f>B131</f>
        <v>-0.24253562503633297</v>
      </c>
      <c r="U133" s="254">
        <v>0</v>
      </c>
      <c r="V133" s="254">
        <v>0</v>
      </c>
      <c r="W133" s="254">
        <v>0</v>
      </c>
      <c r="X133" s="255">
        <v>0</v>
      </c>
      <c r="Y133" s="193"/>
      <c r="Z133" s="254">
        <f>L133*S133+M133*S134+N133*S135+O133*S136+P133*S137+Q133*S138</f>
        <v>3360000</v>
      </c>
      <c r="AA133" s="254">
        <f>L133*T133+M133*T134+N133*T135+O133*T136+P133*T137+Q133*T138</f>
        <v>-840000</v>
      </c>
      <c r="AB133" s="254">
        <f>L133*U133+M133*U134+N133*U135+O133*U136+P133*U137+Q133*U138</f>
        <v>0</v>
      </c>
      <c r="AC133" s="254">
        <f>L133*V133+M133*V134+N133*V135+O133*V136+P133*V137+Q133*V138</f>
        <v>-3360000</v>
      </c>
      <c r="AD133" s="254">
        <f>L133*W133+M133*W134+N133*W135+O133*W136+P133*W137+Q133*W138</f>
        <v>840000</v>
      </c>
      <c r="AE133" s="255">
        <f>L133*X133+M133*X134+N133*X135+O133*X136+P133*X137+Q133*X138</f>
        <v>0</v>
      </c>
      <c r="AF133" s="193"/>
      <c r="AG133" s="257">
        <f t="shared" ref="AG133:AG138" si="40">K13</f>
        <v>0.5511394953690697</v>
      </c>
      <c r="AH133" s="257"/>
      <c r="AI133" s="257">
        <f>Z133*AG133+AA133*AG134+AB133*AG135+AC133*AG136+AD133*AG137+AE133*AG138</f>
        <v>1585.2754867501208</v>
      </c>
      <c r="AK133" s="296" t="s">
        <v>367</v>
      </c>
      <c r="AL133" s="293">
        <f>ABS((Z133*AG133+AA133*AG134+AB133*AG135+AC133*AG136+AD133*AG137+AE133*AG138)/((2*$B$7*$B$8)+($B$9*B19)))</f>
        <v>9.3251499220595342</v>
      </c>
      <c r="AM133" s="294" t="str">
        <f t="shared" ref="AM133:AM138" si="41">IF(AL133&gt;AN133,"&gt;",IF(AL133&lt;AN133,"&lt;",))</f>
        <v>&lt;</v>
      </c>
      <c r="AN133" s="295">
        <f>$F$28</f>
        <v>1440</v>
      </c>
      <c r="AO133" s="298" t="s">
        <v>379</v>
      </c>
      <c r="AP133" s="295">
        <f>(ABS((Z133*AG133+AA133*AG134+AB133*AG135+AC133*AG136+AD133*AG137+AE133*AG138)/((2*$B$7*$B$8)+($B$9*B19))))/$F$28</f>
        <v>6.4757985569857878E-3</v>
      </c>
      <c r="AQ133" s="294" t="str">
        <f t="shared" ref="AQ133:AQ138" si="42">IF(AP133&gt;AR133,"&gt;",IF(AP133&lt;AR133,"&lt;",))</f>
        <v>&lt;</v>
      </c>
      <c r="AR133" s="295">
        <v>0.15</v>
      </c>
      <c r="AX133">
        <f t="shared" ref="AX133:AX138" si="43">G133</f>
        <v>28</v>
      </c>
      <c r="AY133">
        <f>AX133*1000+AY132</f>
        <v>28028</v>
      </c>
      <c r="AZ133">
        <f>AX133*1000+AZ132</f>
        <v>28029</v>
      </c>
      <c r="BA133">
        <f>AX133*1000+BA132</f>
        <v>28030</v>
      </c>
      <c r="BB133">
        <f>AX133*1000+BB132</f>
        <v>28031</v>
      </c>
      <c r="BC133">
        <f>AX133*1000+BC132</f>
        <v>28032</v>
      </c>
      <c r="BD133">
        <f>AX133*1000+BD132</f>
        <v>28033</v>
      </c>
    </row>
    <row r="134" spans="1:56" ht="15.75" thickBot="1" x14ac:dyDescent="0.3">
      <c r="A134" s="249">
        <f>(F131-J131)*B130*B131</f>
        <v>-682200.01669790607</v>
      </c>
      <c r="B134" s="258">
        <f>(F131*B131^2+J131*B130^2)</f>
        <v>734608.65872721036</v>
      </c>
      <c r="C134" s="245">
        <f>J130*B130</f>
        <v>28202932.727636695</v>
      </c>
      <c r="D134" s="245">
        <f>-(F131-J131)*B130*B131</f>
        <v>682200.01669790607</v>
      </c>
      <c r="E134" s="245">
        <f>-(F131*B131^2+J131*B130^2)</f>
        <v>-734608.65872721036</v>
      </c>
      <c r="F134" s="245">
        <f>J130*B130</f>
        <v>28202932.727636695</v>
      </c>
      <c r="G134" s="245">
        <v>29</v>
      </c>
      <c r="H134" s="291"/>
      <c r="I134" s="291"/>
      <c r="J134" s="253"/>
      <c r="K134" s="193"/>
      <c r="L134" s="254">
        <v>0</v>
      </c>
      <c r="M134" s="254">
        <f>J131</f>
        <v>564058.65455273387</v>
      </c>
      <c r="N134" s="254">
        <f>J130</f>
        <v>29070917.647058822</v>
      </c>
      <c r="O134" s="254">
        <v>0</v>
      </c>
      <c r="P134" s="254">
        <f>-J131</f>
        <v>-564058.65455273387</v>
      </c>
      <c r="Q134" s="255">
        <f>J130</f>
        <v>29070917.647058822</v>
      </c>
      <c r="R134" s="193"/>
      <c r="S134" s="256">
        <f>-B131</f>
        <v>0.24253562503633297</v>
      </c>
      <c r="T134" s="254">
        <f>B130</f>
        <v>0.97014250014533188</v>
      </c>
      <c r="U134" s="254">
        <v>0</v>
      </c>
      <c r="V134" s="254">
        <v>0</v>
      </c>
      <c r="W134" s="254">
        <v>0</v>
      </c>
      <c r="X134" s="255">
        <v>0</v>
      </c>
      <c r="Y134" s="193"/>
      <c r="Z134" s="254">
        <f>L134*S133+M134*S134+N134*S135+O134*S136+P134*S137+Q134*S138</f>
        <v>136804.31833910034</v>
      </c>
      <c r="AA134" s="254">
        <f>L134*T133+M134*T134+N134*T135+O134*T136+P134*T137+Q134*T138</f>
        <v>547217.27335640136</v>
      </c>
      <c r="AB134" s="254">
        <f>L134*U133+M134*U134+N134*U135+O134*U136+P134*U137+Q134*U138</f>
        <v>29070917.647058822</v>
      </c>
      <c r="AC134" s="254">
        <f>L134*V133+M134*V134+N134*V135+O134*V136+P134*V137+Q134*V138</f>
        <v>-136804.31833910034</v>
      </c>
      <c r="AD134" s="254">
        <f>L134*W133+M134*W134+N134*W135+O134*W136+P134*W137+Q134*W138</f>
        <v>-547217.27335640136</v>
      </c>
      <c r="AE134" s="255">
        <f>L134*X133+M134*X134+N134*X135+O134*X136+P134*X137+Q134*X138</f>
        <v>29070917.647058822</v>
      </c>
      <c r="AF134" s="193"/>
      <c r="AG134" s="257">
        <f t="shared" si="40"/>
        <v>5.6568411552229296E-2</v>
      </c>
      <c r="AH134" s="257"/>
      <c r="AI134" s="257">
        <f>Z134*AG133+AA134*AG134+AB134*AG135+AC134*AG136+AD134*AG137+AE134*AG138</f>
        <v>-1085.422212519833</v>
      </c>
      <c r="AK134" s="296" t="s">
        <v>368</v>
      </c>
      <c r="AL134" s="293">
        <f>ABS((Z134*AG133+AA134*AG134+AB134*AG135+AC134*AG136+AD134*AG137+AE134*AG138)/((2*$B$7*$B$8)+($B$9*B19)))</f>
        <v>6.3848365442343118</v>
      </c>
      <c r="AM134" s="294" t="str">
        <f t="shared" si="41"/>
        <v>&lt;</v>
      </c>
      <c r="AN134" s="295">
        <f>$H$28</f>
        <v>960</v>
      </c>
      <c r="AO134" s="298" t="s">
        <v>374</v>
      </c>
      <c r="AP134" s="295">
        <f>((ABS((Z134*AG133+AA134*AG134+AB134*AG135+AC134*AG136+AD134*AG137+AE134*AG138)/((2*$B$7*$B$8)+($B$9*B19))))/$H$28)</f>
        <v>6.6508714002440749E-3</v>
      </c>
      <c r="AQ134" s="294" t="str">
        <f t="shared" si="42"/>
        <v>&lt;</v>
      </c>
      <c r="AR134" s="295">
        <v>1</v>
      </c>
      <c r="AX134">
        <f t="shared" si="43"/>
        <v>29</v>
      </c>
      <c r="AY134">
        <f>AX134*1000+AY132</f>
        <v>29028</v>
      </c>
      <c r="AZ134">
        <f>AX134*1000+AZ132</f>
        <v>29029</v>
      </c>
      <c r="BA134">
        <f>AX134*1000+BA132</f>
        <v>29030</v>
      </c>
      <c r="BB134">
        <f>AX134*1000+BB132</f>
        <v>29031</v>
      </c>
      <c r="BC134">
        <f>AX134*1000+BC132</f>
        <v>29032</v>
      </c>
      <c r="BD134">
        <f>AX134*1000+BD132</f>
        <v>29033</v>
      </c>
    </row>
    <row r="135" spans="1:56" ht="15.75" thickBot="1" x14ac:dyDescent="0.3">
      <c r="A135" s="249">
        <f>-J130*B131</f>
        <v>7050733.1819091737</v>
      </c>
      <c r="B135" s="245">
        <f>J130*B130</f>
        <v>28202932.727636695</v>
      </c>
      <c r="C135" s="258">
        <f>H130</f>
        <v>1997707734.8742659</v>
      </c>
      <c r="D135" s="245">
        <f>J130*B131</f>
        <v>-7050733.1819091737</v>
      </c>
      <c r="E135" s="245">
        <f>-J130*B130</f>
        <v>-28202932.727636695</v>
      </c>
      <c r="F135" s="245">
        <f>H131</f>
        <v>998853867.43713295</v>
      </c>
      <c r="G135" s="245">
        <v>30</v>
      </c>
      <c r="H135" s="291"/>
      <c r="I135" s="291"/>
      <c r="J135" s="253"/>
      <c r="K135" s="193"/>
      <c r="L135" s="254">
        <v>0</v>
      </c>
      <c r="M135" s="254">
        <f>J130</f>
        <v>29070917.647058822</v>
      </c>
      <c r="N135" s="254">
        <f>H130</f>
        <v>1997707734.8742659</v>
      </c>
      <c r="O135" s="254">
        <v>0</v>
      </c>
      <c r="P135" s="254">
        <f>-J130</f>
        <v>-29070917.647058822</v>
      </c>
      <c r="Q135" s="255">
        <f>H131</f>
        <v>998853867.43713295</v>
      </c>
      <c r="R135" s="193"/>
      <c r="S135" s="256">
        <v>0</v>
      </c>
      <c r="T135" s="254">
        <v>0</v>
      </c>
      <c r="U135" s="254">
        <v>1</v>
      </c>
      <c r="V135" s="254">
        <v>0</v>
      </c>
      <c r="W135" s="254">
        <v>0</v>
      </c>
      <c r="X135" s="255">
        <v>0</v>
      </c>
      <c r="Y135" s="193"/>
      <c r="Z135" s="254">
        <f>L135*S133+M135*S134+N135*S135+O135*S136+P135*S137+Q135*S138</f>
        <v>7050733.1819091737</v>
      </c>
      <c r="AA135" s="254">
        <f>L135*T133+M135*T134+N135*T135+O135*T136+P135*T137+Q135*T138</f>
        <v>28202932.727636695</v>
      </c>
      <c r="AB135" s="254">
        <f>L135*U133+M135*U134+N135*U135+O135*U136+P135*U137+Q135*U138</f>
        <v>1997707734.8742659</v>
      </c>
      <c r="AC135" s="254">
        <f>L135*V133+M135*V134+N135*V135+O135*V136+P135*V137+Q135*V138</f>
        <v>-7050733.1819091737</v>
      </c>
      <c r="AD135" s="254">
        <f>L135*W133+M135*W134+N135*W135+O135*W136+P135*W137+Q135*W138</f>
        <v>-28202932.727636695</v>
      </c>
      <c r="AE135" s="255">
        <f>L135*X133+M135*X134+N135*X135+O135*X136+P135*X137+Q135*X138</f>
        <v>998853867.43713295</v>
      </c>
      <c r="AF135" s="193"/>
      <c r="AG135" s="257">
        <f t="shared" si="40"/>
        <v>5.1855213923378339E-4</v>
      </c>
      <c r="AH135" s="257"/>
      <c r="AI135" s="257">
        <f>Z135*AG133+AA135*AG134+AB135*AG135+AC135*AG136+AD135*AG137+AE135*AG138</f>
        <v>174227.54546133071</v>
      </c>
      <c r="AK135" s="296" t="s">
        <v>369</v>
      </c>
      <c r="AL135" s="293">
        <f>ABS((Z135*AG133+AA135*AG134+AB135*AG135+AC135*AG136+AD135*AG137+AE135*AG138)*($B$8+0.5*B19)/(2*((($B$7*($B$8)^3)/12)+($B$7*$B$8)*(B19+2*$B$8-0.5*$B$8-($B$8+0.5*B19))^2)+($B$9*(B19)^3)/12))</f>
        <v>103.05467216327818</v>
      </c>
      <c r="AM135" s="294" t="str">
        <f t="shared" si="41"/>
        <v>&lt;</v>
      </c>
      <c r="AN135" s="295">
        <f>$J$28</f>
        <v>1440</v>
      </c>
      <c r="AO135" s="298" t="s">
        <v>373</v>
      </c>
      <c r="AP135" s="305">
        <f>((ABS((Z133*AG133+AA133*AG134+AB133*AG135+AC133*AG136+AD133*AG137+AE133*AG138)/((2*$B$7*$B$8)+($B$9*B19))))/$F$28)+((ABS((Z135*AG133+AA135*AG134+AB135*AG135+AC135*AG136+AD135*AG137+AE135*AG138)*($B$8+0.5*B19)/(2*((($B$7*($B$8)^3)/12)+($B$7*$B$8)*(B19+2*$B$8-0.5*$B$8-($B$8+0.5*B19))^2)+($B$9*(B19)^3)/12)))/$J$28)</f>
        <v>7.8041543114817855E-2</v>
      </c>
      <c r="AQ135" s="294" t="str">
        <f t="shared" si="42"/>
        <v>&lt;</v>
      </c>
      <c r="AR135" s="295">
        <v>1</v>
      </c>
      <c r="AX135">
        <f t="shared" si="43"/>
        <v>30</v>
      </c>
      <c r="AY135">
        <f>AX135*1000+AY132</f>
        <v>30028</v>
      </c>
      <c r="AZ135">
        <f>AX135*1000+AZ132</f>
        <v>30029</v>
      </c>
      <c r="BA135">
        <f>AX135*1000+BA132</f>
        <v>30030</v>
      </c>
      <c r="BB135">
        <f>AX135*1000+BB132</f>
        <v>30031</v>
      </c>
      <c r="BC135">
        <f>AX135*1000+BC132</f>
        <v>30032</v>
      </c>
      <c r="BD135">
        <f>AX135*1000+BD132</f>
        <v>30033</v>
      </c>
    </row>
    <row r="136" spans="1:56" ht="16.5" thickBot="1" x14ac:dyDescent="0.3">
      <c r="A136" s="249">
        <f>-(F131*B130^2+J131*B131^2)</f>
        <v>-3292858.7213443583</v>
      </c>
      <c r="B136" s="245">
        <f>-(F131-J131)*B130*B131</f>
        <v>682200.01669790607</v>
      </c>
      <c r="C136" s="245">
        <f>J130*B131</f>
        <v>-7050733.1819091737</v>
      </c>
      <c r="D136" s="258">
        <f>(F131*B130^2+J131*B131^2)</f>
        <v>3292858.7213443583</v>
      </c>
      <c r="E136" s="245">
        <f>(F131-J131)*B130*B131</f>
        <v>-682200.01669790607</v>
      </c>
      <c r="F136" s="245">
        <f>J130*B131</f>
        <v>-7050733.1819091737</v>
      </c>
      <c r="G136" s="245">
        <v>31</v>
      </c>
      <c r="H136" s="246"/>
      <c r="I136" s="246"/>
      <c r="J136" s="253"/>
      <c r="K136" s="193"/>
      <c r="L136" s="254">
        <f>-F131</f>
        <v>-3463408.7255188348</v>
      </c>
      <c r="M136" s="254">
        <v>0</v>
      </c>
      <c r="N136" s="254">
        <v>0</v>
      </c>
      <c r="O136" s="254">
        <f>F131</f>
        <v>3463408.7255188348</v>
      </c>
      <c r="P136" s="254">
        <v>0</v>
      </c>
      <c r="Q136" s="255">
        <v>0</v>
      </c>
      <c r="R136" s="259" t="s">
        <v>287</v>
      </c>
      <c r="S136" s="256">
        <v>0</v>
      </c>
      <c r="T136" s="254">
        <v>0</v>
      </c>
      <c r="U136" s="254">
        <v>0</v>
      </c>
      <c r="V136" s="254">
        <f>B130</f>
        <v>0.97014250014533188</v>
      </c>
      <c r="W136" s="254">
        <f>B131</f>
        <v>-0.24253562503633297</v>
      </c>
      <c r="X136" s="255">
        <v>0</v>
      </c>
      <c r="Y136" s="260" t="s">
        <v>127</v>
      </c>
      <c r="Z136" s="254">
        <f>L136*S133+M136*S134+N136*S135+O136*S136+P136*S137+Q136*S138</f>
        <v>-3360000</v>
      </c>
      <c r="AA136" s="254">
        <f>L136*T133+M136*T134+N136*T135+O136*T136+P136*T137+Q136*T138</f>
        <v>840000</v>
      </c>
      <c r="AB136" s="254">
        <f>L136*U133+M136*U134+N136*U135+O136*U136+P136*U137+Q136*U138</f>
        <v>0</v>
      </c>
      <c r="AC136" s="254">
        <f>L136*V133+M136*V134+N136*V135+O136*V136+P136*V137+Q136*V138</f>
        <v>3360000</v>
      </c>
      <c r="AD136" s="254">
        <f>L136*W133+M136*W134+N136*W135+O136*W136+P136*W137+Q136*W138</f>
        <v>-840000</v>
      </c>
      <c r="AE136" s="255">
        <f>L136*X133+M136*X134+N136*X135+O136*X136+P136*X137+Q136*X138</f>
        <v>0</v>
      </c>
      <c r="AF136" s="259" t="s">
        <v>287</v>
      </c>
      <c r="AG136" s="257">
        <f t="shared" si="40"/>
        <v>0.55836513136048438</v>
      </c>
      <c r="AH136" s="259" t="s">
        <v>127</v>
      </c>
      <c r="AI136" s="257">
        <f>Z136*AG133+AA136*AG134+AB136*AG135+AC136*AG136+AD136*AG137+AE136*AG138</f>
        <v>-1585.2754867501208</v>
      </c>
      <c r="AK136" s="296" t="s">
        <v>370</v>
      </c>
      <c r="AL136" s="293">
        <f>ABS((Z136*AG133+AA136*AG134+AB136*AG135+AC136*AG136+AD136*AG137+AE136*AG138)/((2*$B$7*$B$8)+($B$9*B19)))</f>
        <v>9.3251499220595342</v>
      </c>
      <c r="AM136" s="294" t="str">
        <f t="shared" si="41"/>
        <v>&lt;</v>
      </c>
      <c r="AN136" s="295">
        <f>$F$28</f>
        <v>1440</v>
      </c>
      <c r="AO136" s="298" t="s">
        <v>378</v>
      </c>
      <c r="AP136" s="295">
        <f>(B19)/$B$9</f>
        <v>12.5</v>
      </c>
      <c r="AQ136" s="294" t="str">
        <f t="shared" si="42"/>
        <v>&lt;</v>
      </c>
      <c r="AR136" s="295">
        <f>6370/($J$28)^0.5</f>
        <v>167.86423912727147</v>
      </c>
      <c r="AX136">
        <f t="shared" si="43"/>
        <v>31</v>
      </c>
      <c r="AY136">
        <f>AX136*1000+AY132</f>
        <v>31028</v>
      </c>
      <c r="AZ136">
        <f>AX136*1000+AZ132</f>
        <v>31029</v>
      </c>
      <c r="BA136">
        <f>AX136*1000+BA132</f>
        <v>31030</v>
      </c>
      <c r="BB136">
        <f>AX136*1000+BB132</f>
        <v>31031</v>
      </c>
      <c r="BC136">
        <f>AX136*1000+BC132</f>
        <v>31032</v>
      </c>
      <c r="BD136">
        <f>AX136*1000+BD132</f>
        <v>31033</v>
      </c>
    </row>
    <row r="137" spans="1:56" ht="15.75" thickBot="1" x14ac:dyDescent="0.3">
      <c r="A137" s="249">
        <f>-(F131-J131)*B130*B131</f>
        <v>682200.01669790607</v>
      </c>
      <c r="B137" s="245">
        <f>-(F131*B131^2+J131*B130^2)</f>
        <v>-734608.65872721036</v>
      </c>
      <c r="C137" s="245">
        <f>-J130*B130</f>
        <v>-28202932.727636695</v>
      </c>
      <c r="D137" s="245">
        <f>(F131-J131)*B130*B131</f>
        <v>-682200.01669790607</v>
      </c>
      <c r="E137" s="258">
        <f>(F131*B131^2+J131*B130^2)</f>
        <v>734608.65872721036</v>
      </c>
      <c r="F137" s="245">
        <f>-J130*B130</f>
        <v>-28202932.727636695</v>
      </c>
      <c r="G137" s="245">
        <v>32</v>
      </c>
      <c r="H137" s="246"/>
      <c r="I137" s="246"/>
      <c r="J137" s="253"/>
      <c r="K137" s="193"/>
      <c r="L137" s="254">
        <v>0</v>
      </c>
      <c r="M137" s="254">
        <f>-J131</f>
        <v>-564058.65455273387</v>
      </c>
      <c r="N137" s="254">
        <f>-J130</f>
        <v>-29070917.647058822</v>
      </c>
      <c r="O137" s="254">
        <v>0</v>
      </c>
      <c r="P137" s="254">
        <f>J131</f>
        <v>564058.65455273387</v>
      </c>
      <c r="Q137" s="255">
        <f>-J130</f>
        <v>-29070917.647058822</v>
      </c>
      <c r="R137" s="193"/>
      <c r="S137" s="256">
        <v>0</v>
      </c>
      <c r="T137" s="254">
        <v>0</v>
      </c>
      <c r="U137" s="254">
        <v>0</v>
      </c>
      <c r="V137" s="254">
        <f>-B131</f>
        <v>0.24253562503633297</v>
      </c>
      <c r="W137" s="254">
        <f>B130</f>
        <v>0.97014250014533188</v>
      </c>
      <c r="X137" s="255">
        <v>0</v>
      </c>
      <c r="Y137" s="193"/>
      <c r="Z137" s="254">
        <f>L137*S133+M137*S134+N137*S135+O137*S136+P137*S137+Q137*S138</f>
        <v>-136804.31833910034</v>
      </c>
      <c r="AA137" s="254">
        <f>L137*T133+M137*T134+N137*T135+O137*T136+P137*T137+Q137*T138</f>
        <v>-547217.27335640136</v>
      </c>
      <c r="AB137" s="254">
        <f>L137*U133+M137*U134+N137*U135+O137*U136+P137*U137+Q137*U138</f>
        <v>-29070917.647058822</v>
      </c>
      <c r="AC137" s="254">
        <f>L137*V133+M137*V134+N137*V135+O137*V136+P137*V137+Q137*V138</f>
        <v>136804.31833910034</v>
      </c>
      <c r="AD137" s="254">
        <f>L137*W133+M137*W134+N137*W135+O137*W136+P137*W137+Q137*W138</f>
        <v>547217.27335640136</v>
      </c>
      <c r="AE137" s="255">
        <f>L137*X133+M137*X134+N137*X135+O137*X136+P137*X137+Q137*X138</f>
        <v>-29070917.647058822</v>
      </c>
      <c r="AF137" s="193"/>
      <c r="AG137" s="257">
        <f t="shared" si="40"/>
        <v>8.735818824020937E-2</v>
      </c>
      <c r="AH137" s="257"/>
      <c r="AI137" s="257">
        <f>Z137*AG133+AA137*AG134+AB137*AG135+AC137*AG136+AD137*AG137+AE137*AG138</f>
        <v>1085.422212519833</v>
      </c>
      <c r="AK137" s="296" t="s">
        <v>371</v>
      </c>
      <c r="AL137" s="293">
        <f>ABS((Z137*AG133+AA137*AG134+AB137*AG135+AC137*AG136+AD137*AG137+AE137*AG138)/((2*$B$7*$B$8)+($B$9*B19)))</f>
        <v>6.3848365442343118</v>
      </c>
      <c r="AM137" s="294" t="str">
        <f t="shared" si="41"/>
        <v>&lt;</v>
      </c>
      <c r="AN137" s="295">
        <f>$H$28</f>
        <v>960</v>
      </c>
      <c r="AO137" s="298" t="s">
        <v>374</v>
      </c>
      <c r="AP137" s="295">
        <f>((ABS((Z137*AG133+AA137*AG134+AB137*AG135+AC137*AG136+AD137*AG137+AE137*AG138)/((2*$B$7*$B$8)+($B$9*B19))))/$H$28)</f>
        <v>6.6508714002440749E-3</v>
      </c>
      <c r="AQ137" s="294" t="str">
        <f t="shared" si="42"/>
        <v>&lt;</v>
      </c>
      <c r="AR137" s="295">
        <v>1</v>
      </c>
      <c r="AX137">
        <f t="shared" si="43"/>
        <v>32</v>
      </c>
      <c r="AY137">
        <f>AX137*1000+AY132</f>
        <v>32028</v>
      </c>
      <c r="AZ137">
        <f>AX137*1000+AZ132</f>
        <v>32029</v>
      </c>
      <c r="BA137">
        <f>AX137*1000+BA132</f>
        <v>32030</v>
      </c>
      <c r="BB137">
        <f>AX137*1000+BB132</f>
        <v>32031</v>
      </c>
      <c r="BC137">
        <f>AX137*1000+BC132</f>
        <v>32032</v>
      </c>
      <c r="BD137">
        <f>AX137*1000+BD132</f>
        <v>32033</v>
      </c>
    </row>
    <row r="138" spans="1:56" ht="15.75" thickBot="1" x14ac:dyDescent="0.3">
      <c r="A138" s="261">
        <f>-J130*B131</f>
        <v>7050733.1819091737</v>
      </c>
      <c r="B138" s="262">
        <f>J130*B130</f>
        <v>28202932.727636695</v>
      </c>
      <c r="C138" s="262">
        <f>H131</f>
        <v>998853867.43713295</v>
      </c>
      <c r="D138" s="262">
        <f>J130*B131</f>
        <v>-7050733.1819091737</v>
      </c>
      <c r="E138" s="262">
        <f>-J130*B130</f>
        <v>-28202932.727636695</v>
      </c>
      <c r="F138" s="263">
        <f>H130</f>
        <v>1997707734.8742659</v>
      </c>
      <c r="G138" s="262">
        <v>33</v>
      </c>
      <c r="H138" s="264"/>
      <c r="I138" s="264"/>
      <c r="J138" s="265"/>
      <c r="K138" s="193"/>
      <c r="L138" s="254">
        <v>0</v>
      </c>
      <c r="M138" s="254">
        <f>J130</f>
        <v>29070917.647058822</v>
      </c>
      <c r="N138" s="254">
        <f>H131</f>
        <v>998853867.43713295</v>
      </c>
      <c r="O138" s="254">
        <v>0</v>
      </c>
      <c r="P138" s="254">
        <f>-J130</f>
        <v>-29070917.647058822</v>
      </c>
      <c r="Q138" s="255">
        <f>H130</f>
        <v>1997707734.8742659</v>
      </c>
      <c r="R138" s="193"/>
      <c r="S138" s="256">
        <v>0</v>
      </c>
      <c r="T138" s="254">
        <v>0</v>
      </c>
      <c r="U138" s="254">
        <v>0</v>
      </c>
      <c r="V138" s="254">
        <v>0</v>
      </c>
      <c r="W138" s="254">
        <v>0</v>
      </c>
      <c r="X138" s="255">
        <v>1</v>
      </c>
      <c r="Y138" s="193"/>
      <c r="Z138" s="254">
        <f>L138*S133+M138*S134+N138*S135+O138*S136+P138*S137+Q138*S138</f>
        <v>7050733.1819091737</v>
      </c>
      <c r="AA138" s="254">
        <f>L138*T133+M138*T134+N138*T135+O138*T136+P138*T137+Q138*T138</f>
        <v>28202932.727636695</v>
      </c>
      <c r="AB138" s="254">
        <f>L138*U133+M138*U134+N138*U135+O138*U136+P138*U137+Q138*U138</f>
        <v>998853867.43713295</v>
      </c>
      <c r="AC138" s="254">
        <f>L138*V133+M138*V134+N138*V135+O138*V136+P138*V137+Q138*V138</f>
        <v>-7050733.1819091737</v>
      </c>
      <c r="AD138" s="254">
        <f>L138*W133+M138*W134+N138*W135+O138*W136+P138*W137+Q138*W138</f>
        <v>-28202932.727636695</v>
      </c>
      <c r="AE138" s="255">
        <f>L138*X133+M138*X134+N138*X135+O138*X136+P138*X137+Q138*X138</f>
        <v>1997707734.8742659</v>
      </c>
      <c r="AF138" s="193"/>
      <c r="AG138" s="257">
        <f t="shared" si="40"/>
        <v>5.7686073941296082E-5</v>
      </c>
      <c r="AH138" s="257"/>
      <c r="AI138" s="257">
        <f>Z138*AG133+AA138*AG134+AB138*AG135+AC138*AG136+AD138*AG137+AE138*AG138</f>
        <v>-286110.30622660386</v>
      </c>
      <c r="AK138" s="296" t="s">
        <v>372</v>
      </c>
      <c r="AL138" s="293">
        <f>ABS((Z138*AG133+AA138*AG134+AB138*AG135+AC138*AG136+AD138*AG137+AE138*AG138)*($B$8+0.5*B19)/(2*((($B$7*($B$8)^3)/12)+($B$7*$B$8)*(B19+2*$B$8-0.5*$B$8-($B$8+0.5*B19))^2)+($B$9*(B19)^3)/12))</f>
        <v>169.23273373705362</v>
      </c>
      <c r="AM138" s="294" t="str">
        <f t="shared" si="41"/>
        <v>&lt;</v>
      </c>
      <c r="AN138" s="295">
        <f>$J$28</f>
        <v>1440</v>
      </c>
      <c r="AO138" s="298" t="s">
        <v>373</v>
      </c>
      <c r="AP138" s="305">
        <f>((ABS((Z136*AG133+AA136*AG134+AB136*AG135+AC136*AG136+AD136*AG137+AE136*AG138)/((2*$B$7*$B$8)+($B$9*B19))))/$F$28)+((ABS((Z138*AG133+AA138*AG134+AB138*AG135+AC138*AG136+AD138*AG137+AE138*AG138)*($B$8+0.5*B19)/(2*((($B$7*($B$8)^3)/12)+($B$7*$B$8)*(B19+2*$B$8-0.5*$B$8-($B$8+0.5*B19))^2)+($B$9*(B19)^3)/12)))/$J$28)</f>
        <v>0.12399853031882857</v>
      </c>
      <c r="AQ138" s="294" t="str">
        <f t="shared" si="42"/>
        <v>&lt;</v>
      </c>
      <c r="AR138" s="295">
        <v>1</v>
      </c>
      <c r="AX138">
        <f t="shared" si="43"/>
        <v>33</v>
      </c>
      <c r="AY138">
        <f>AX138*1000+AY132</f>
        <v>33028</v>
      </c>
      <c r="AZ138">
        <f>AX138*1000+AZ132</f>
        <v>33029</v>
      </c>
      <c r="BA138">
        <f>AX138*1000+BA132</f>
        <v>33030</v>
      </c>
      <c r="BB138">
        <f>AX138*1000+BB132</f>
        <v>33031</v>
      </c>
      <c r="BC138">
        <f>AX138*1000+BC132</f>
        <v>33032</v>
      </c>
      <c r="BD138">
        <f>AX138*1000+BD132</f>
        <v>33033</v>
      </c>
    </row>
    <row r="139" spans="1:56" x14ac:dyDescent="0.25">
      <c r="A139" s="239" t="s">
        <v>279</v>
      </c>
      <c r="B139" s="240">
        <f>(D42-B42)/F42</f>
        <v>0.97014250014533188</v>
      </c>
      <c r="C139" s="241" t="s">
        <v>280</v>
      </c>
      <c r="D139" s="240">
        <f>$B$8+0.5*B20</f>
        <v>17</v>
      </c>
      <c r="E139" s="241" t="s">
        <v>30</v>
      </c>
      <c r="F139" s="242">
        <f>2*((($B$7*($B$8)^3)/12)+($B$7*$B$8)*(B20+2*$B$8-0.5*$B$8-($B$8+0.5*B20))^2)+($B$9*(B20)^3)/12</f>
        <v>35260</v>
      </c>
      <c r="G139" s="241" t="s">
        <v>281</v>
      </c>
      <c r="H139" s="241">
        <f>4*$B$28*(2*((($B$7*($B$8)^3)/12)+($B$7*$B$8)*(B20+2*$B$8-0.5*$B$8-($B$8+0.5*B20))^2)+($B$9*(B20)^3)/12)/F42</f>
        <v>2873406862.6304498</v>
      </c>
      <c r="I139" s="241" t="s">
        <v>282</v>
      </c>
      <c r="J139" s="243">
        <f>6*$B$28*(2*((($B$7*($B$8)^3)/12)+($B$7*$B$8)*(B20+2*$B$8-0.5*$B$8-($B$8+0.5*B20))^2)+($B$9*(B20)^3)/12)/(F42^2)</f>
        <v>41814211.764705881</v>
      </c>
    </row>
    <row r="140" spans="1:56" x14ac:dyDescent="0.25">
      <c r="A140" s="244" t="s">
        <v>283</v>
      </c>
      <c r="B140" s="245">
        <f>(E42-C42)/F42</f>
        <v>-0.24253562503633297</v>
      </c>
      <c r="C140" s="246" t="s">
        <v>13</v>
      </c>
      <c r="D140" s="247">
        <f>(2*$B$7*$B$8)+($B$9*B20)</f>
        <v>180</v>
      </c>
      <c r="E140" s="246" t="s">
        <v>284</v>
      </c>
      <c r="F140" s="246">
        <f>$B$28*((2*$B$7*$B$8)+($B$9*B20))/F42</f>
        <v>3667138.6505493545</v>
      </c>
      <c r="G140" s="246" t="s">
        <v>285</v>
      </c>
      <c r="H140" s="246">
        <f>2*$B$28*(2*((($B$7*($B$8)^3)/12)+($B$7*$B$8)*(B20+2*$B$8-0.5*$B$8-($B$8+0.5*B20))^2)+($B$9*(B20)^3)/12)/F42</f>
        <v>1436703431.3152249</v>
      </c>
      <c r="I140" s="246" t="s">
        <v>286</v>
      </c>
      <c r="J140" s="248">
        <f>12*$B$28*(2*((($B$7*($B$8)^3)/12)+($B$7*$B$8)*(B20+2*$B$8-0.5*$B$8-($B$8+0.5*B20))^2)+($B$9*(B20)^3)/12)/(F42^3)</f>
        <v>811314.87886036222</v>
      </c>
    </row>
    <row r="141" spans="1:56" ht="15.75" thickBot="1" x14ac:dyDescent="0.3">
      <c r="A141" s="249">
        <f>G142</f>
        <v>31</v>
      </c>
      <c r="B141" s="245">
        <f>G143</f>
        <v>32</v>
      </c>
      <c r="C141" s="245">
        <f>G144</f>
        <v>33</v>
      </c>
      <c r="D141" s="245">
        <f>G145</f>
        <v>34</v>
      </c>
      <c r="E141" s="245">
        <f>G146</f>
        <v>35</v>
      </c>
      <c r="F141" s="245">
        <f>G147</f>
        <v>36</v>
      </c>
      <c r="G141" s="250"/>
      <c r="H141" s="246"/>
      <c r="I141" s="246"/>
      <c r="J141" s="251">
        <v>11</v>
      </c>
      <c r="AY141">
        <f>AX142</f>
        <v>31</v>
      </c>
      <c r="AZ141">
        <f>AX143</f>
        <v>32</v>
      </c>
      <c r="BA141">
        <f>AX144</f>
        <v>33</v>
      </c>
      <c r="BB141">
        <f>AX145</f>
        <v>34</v>
      </c>
      <c r="BC141">
        <f>AX146</f>
        <v>35</v>
      </c>
      <c r="BD141">
        <f>AX147</f>
        <v>36</v>
      </c>
    </row>
    <row r="142" spans="1:56" ht="15.75" thickBot="1" x14ac:dyDescent="0.3">
      <c r="A142" s="252">
        <f>(F140*B139^2+J140*B140^2)</f>
        <v>3499149.0169205903</v>
      </c>
      <c r="B142" s="245">
        <f>(F140-J140)*B139*B140</f>
        <v>-671958.53451505699</v>
      </c>
      <c r="C142" s="245">
        <f>-J139*B140</f>
        <v>10141435.985754529</v>
      </c>
      <c r="D142" s="245">
        <f>-(F140*B139^2+J140*B140^2)</f>
        <v>-3499149.0169205903</v>
      </c>
      <c r="E142" s="245">
        <f>-(F140-J140)*B139*B140</f>
        <v>671958.53451505699</v>
      </c>
      <c r="F142" s="245">
        <f>-J139*B140</f>
        <v>10141435.985754529</v>
      </c>
      <c r="G142" s="245">
        <v>31</v>
      </c>
      <c r="H142" s="246"/>
      <c r="I142" s="250"/>
      <c r="J142" s="253"/>
      <c r="K142" s="193"/>
      <c r="L142" s="254">
        <f>F140</f>
        <v>3667138.6505493545</v>
      </c>
      <c r="M142" s="254">
        <v>0</v>
      </c>
      <c r="N142" s="254">
        <v>0</v>
      </c>
      <c r="O142" s="254">
        <f>-F140</f>
        <v>-3667138.6505493545</v>
      </c>
      <c r="P142" s="254">
        <v>0</v>
      </c>
      <c r="Q142" s="255">
        <v>0</v>
      </c>
      <c r="R142" s="193"/>
      <c r="S142" s="256">
        <f>B139</f>
        <v>0.97014250014533188</v>
      </c>
      <c r="T142" s="254">
        <f>B140</f>
        <v>-0.24253562503633297</v>
      </c>
      <c r="U142" s="254">
        <v>0</v>
      </c>
      <c r="V142" s="254">
        <v>0</v>
      </c>
      <c r="W142" s="254">
        <v>0</v>
      </c>
      <c r="X142" s="255">
        <v>0</v>
      </c>
      <c r="Y142" s="193"/>
      <c r="Z142" s="254">
        <f>L142*S142+M142*S143+N142*S144+O142*S145+P142*S146+Q142*S147</f>
        <v>3557647.0588235292</v>
      </c>
      <c r="AA142" s="254">
        <f>L142*T142+M142*T143+N142*T144+O142*T145+P142*T146+Q142*T147</f>
        <v>-889411.76470588229</v>
      </c>
      <c r="AB142" s="254">
        <f>L142*U142+M142*U143+N142*U144+O142*U145+P142*U146+Q142*U147</f>
        <v>0</v>
      </c>
      <c r="AC142" s="254">
        <f>L142*V142+M142*V143+N142*V144+O142*V145+P142*V146+Q142*V147</f>
        <v>-3557647.0588235292</v>
      </c>
      <c r="AD142" s="254">
        <f>L142*W142+M142*W143+N142*W144+O142*W145+P142*W146+Q142*W147</f>
        <v>889411.76470588229</v>
      </c>
      <c r="AE142" s="255">
        <f>L142*X142+M142*X143+N142*X144+O142*X145+P142*X146+Q142*X147</f>
        <v>0</v>
      </c>
      <c r="AF142" s="193"/>
      <c r="AG142" s="257">
        <f t="shared" ref="AG142:AG147" si="44">K16</f>
        <v>0.55836513136048438</v>
      </c>
      <c r="AH142" s="257"/>
      <c r="AI142" s="257">
        <f>Z142*AG142+AA142*AG143+AB142*AG144+AC142*AG145+AD142*AG146+AE142*AG147</f>
        <v>1585.2754867500553</v>
      </c>
      <c r="AK142" s="296" t="s">
        <v>367</v>
      </c>
      <c r="AL142" s="293">
        <f>ABS((Z142*AG142+AA142*AG143+AB142*AG144+AC142*AG145+AD142*AG146+AE142*AG147)/((2*$B$7*$B$8)+($B$9*B20)))</f>
        <v>8.8070860375003068</v>
      </c>
      <c r="AM142" s="294" t="str">
        <f t="shared" ref="AM142:AM147" si="45">IF(AL142&gt;AN142,"&gt;",IF(AL142&lt;AN142,"&lt;",))</f>
        <v>&lt;</v>
      </c>
      <c r="AN142" s="295">
        <f>$F$28</f>
        <v>1440</v>
      </c>
      <c r="AO142" s="298" t="s">
        <v>379</v>
      </c>
      <c r="AP142" s="295">
        <f>(ABS((Z142*AG142+AA142*AG143+AB142*AG144+AC142*AG145+AD142*AG146+AE142*AG147)/((2*$B$7*$B$8)+($B$9*B20))))/$F$28</f>
        <v>6.1160319704863242E-3</v>
      </c>
      <c r="AQ142" s="294" t="str">
        <f t="shared" ref="AQ142:AQ147" si="46">IF(AP142&gt;AR142,"&gt;",IF(AP142&lt;AR142,"&lt;",))</f>
        <v>&lt;</v>
      </c>
      <c r="AR142" s="295">
        <v>0.15</v>
      </c>
      <c r="AX142">
        <f t="shared" ref="AX142:AX147" si="47">G142</f>
        <v>31</v>
      </c>
      <c r="AY142">
        <f>AX142*1000+AY141</f>
        <v>31031</v>
      </c>
      <c r="AZ142">
        <f>AX142*1000+AZ141</f>
        <v>31032</v>
      </c>
      <c r="BA142">
        <f>AX142*1000+BA141</f>
        <v>31033</v>
      </c>
      <c r="BB142">
        <f>AX142*1000+BB141</f>
        <v>31034</v>
      </c>
      <c r="BC142">
        <f>AX142*1000+BC141</f>
        <v>31035</v>
      </c>
      <c r="BD142">
        <f>AX142*1000+BD141</f>
        <v>31036</v>
      </c>
    </row>
    <row r="143" spans="1:56" ht="15.75" thickBot="1" x14ac:dyDescent="0.3">
      <c r="A143" s="249">
        <f>(F140-J140)*B139*B140</f>
        <v>-671958.53451505699</v>
      </c>
      <c r="B143" s="258">
        <f>(F140*B140^2+J140*B139^2)</f>
        <v>979304.51248912641</v>
      </c>
      <c r="C143" s="245">
        <f>J139*B139</f>
        <v>40565743.943018116</v>
      </c>
      <c r="D143" s="245">
        <f>-(F140-J140)*B139*B140</f>
        <v>671958.53451505699</v>
      </c>
      <c r="E143" s="245">
        <f>-(F140*B140^2+J140*B139^2)</f>
        <v>-979304.51248912641</v>
      </c>
      <c r="F143" s="245">
        <f>J139*B139</f>
        <v>40565743.943018116</v>
      </c>
      <c r="G143" s="245">
        <v>32</v>
      </c>
      <c r="H143" s="246"/>
      <c r="I143" s="246"/>
      <c r="J143" s="253"/>
      <c r="K143" s="193"/>
      <c r="L143" s="254">
        <v>0</v>
      </c>
      <c r="M143" s="254">
        <f>J140</f>
        <v>811314.87886036222</v>
      </c>
      <c r="N143" s="254">
        <f>J139</f>
        <v>41814211.764705881</v>
      </c>
      <c r="O143" s="254">
        <v>0</v>
      </c>
      <c r="P143" s="254">
        <f>-J140</f>
        <v>-811314.87886036222</v>
      </c>
      <c r="Q143" s="255">
        <f>J139</f>
        <v>41814211.764705881</v>
      </c>
      <c r="R143" s="193"/>
      <c r="S143" s="256">
        <f>-B140</f>
        <v>0.24253562503633297</v>
      </c>
      <c r="T143" s="254">
        <f>B139</f>
        <v>0.97014250014533188</v>
      </c>
      <c r="U143" s="254">
        <v>0</v>
      </c>
      <c r="V143" s="254">
        <v>0</v>
      </c>
      <c r="W143" s="254">
        <v>0</v>
      </c>
      <c r="X143" s="255">
        <v>0</v>
      </c>
      <c r="Y143" s="193"/>
      <c r="Z143" s="254">
        <f>L143*S142+M143*S143+N143*S144+O143*S145+P143*S146+Q143*S147</f>
        <v>196772.76124567472</v>
      </c>
      <c r="AA143" s="254">
        <f>L143*T142+M143*T143+N143*T144+O143*T145+P143*T146+Q143*T147</f>
        <v>787091.04498269886</v>
      </c>
      <c r="AB143" s="254">
        <f>L143*U142+M143*U143+N143*U144+O143*U145+P143*U146+Q143*U147</f>
        <v>41814211.764705881</v>
      </c>
      <c r="AC143" s="254">
        <f>L143*V142+M143*V143+N143*V144+O143*V145+P143*V146+Q143*V147</f>
        <v>-196772.76124567472</v>
      </c>
      <c r="AD143" s="254">
        <f>L143*W142+M143*W143+N143*W144+O143*W145+P143*W146+Q143*W147</f>
        <v>-787091.04498269886</v>
      </c>
      <c r="AE143" s="255">
        <f>L143*X142+M143*X143+N143*X144+O143*X145+P143*X146+Q143*X147</f>
        <v>41814211.764705881</v>
      </c>
      <c r="AF143" s="193"/>
      <c r="AG143" s="257">
        <f t="shared" si="44"/>
        <v>8.735818824020937E-2</v>
      </c>
      <c r="AH143" s="257"/>
      <c r="AI143" s="257">
        <f>Z143*AG142+AA143*AG143+AB143*AG144+AC143*AG145+AD143*AG146+AE143*AG147</f>
        <v>-1085.4222125196793</v>
      </c>
      <c r="AK143" s="296" t="s">
        <v>368</v>
      </c>
      <c r="AL143" s="293">
        <f>ABS((Z143*AG142+AA143*AG143+AB143*AG144+AC143*AG145+AD143*AG146+AE143*AG147)/((2*$B$7*$B$8)+($B$9*B20)))</f>
        <v>6.0301234028871074</v>
      </c>
      <c r="AM143" s="294" t="str">
        <f t="shared" si="45"/>
        <v>&lt;</v>
      </c>
      <c r="AN143" s="295">
        <f>$H$28</f>
        <v>960</v>
      </c>
      <c r="AO143" s="298" t="s">
        <v>374</v>
      </c>
      <c r="AP143" s="295">
        <f>((ABS((Z143*AG142+AA143*AG143+AB143*AG144+AC143*AG145+AD143*AG146+AE143*AG147)/((2*$B$7*$B$8)+($B$9*B20))))/$H$28)</f>
        <v>6.2813785446740704E-3</v>
      </c>
      <c r="AQ143" s="294" t="str">
        <f t="shared" si="46"/>
        <v>&lt;</v>
      </c>
      <c r="AR143" s="295">
        <v>1</v>
      </c>
      <c r="AX143">
        <f t="shared" si="47"/>
        <v>32</v>
      </c>
      <c r="AY143">
        <f>AX143*1000+AY141</f>
        <v>32031</v>
      </c>
      <c r="AZ143">
        <f>AX143*1000+AZ141</f>
        <v>32032</v>
      </c>
      <c r="BA143">
        <f>AX143*1000+BA141</f>
        <v>32033</v>
      </c>
      <c r="BB143">
        <f>AX143*1000+BB141</f>
        <v>32034</v>
      </c>
      <c r="BC143">
        <f>AX143*1000+BC141</f>
        <v>32035</v>
      </c>
      <c r="BD143">
        <f>AX143*1000+BD141</f>
        <v>32036</v>
      </c>
    </row>
    <row r="144" spans="1:56" ht="15.75" thickBot="1" x14ac:dyDescent="0.3">
      <c r="A144" s="249">
        <f>-J139*B140</f>
        <v>10141435.985754529</v>
      </c>
      <c r="B144" s="245">
        <f>J139*B139</f>
        <v>40565743.943018116</v>
      </c>
      <c r="C144" s="258">
        <f>H139</f>
        <v>2873406862.6304498</v>
      </c>
      <c r="D144" s="245">
        <f>J139*B140</f>
        <v>-10141435.985754529</v>
      </c>
      <c r="E144" s="245">
        <f>-J139*B139</f>
        <v>-40565743.943018116</v>
      </c>
      <c r="F144" s="245">
        <f>H140</f>
        <v>1436703431.3152249</v>
      </c>
      <c r="G144" s="245">
        <v>33</v>
      </c>
      <c r="H144" s="246"/>
      <c r="I144" s="246"/>
      <c r="J144" s="253"/>
      <c r="K144" s="193"/>
      <c r="L144" s="254">
        <v>0</v>
      </c>
      <c r="M144" s="254">
        <f>J139</f>
        <v>41814211.764705881</v>
      </c>
      <c r="N144" s="254">
        <f>H139</f>
        <v>2873406862.6304498</v>
      </c>
      <c r="O144" s="254">
        <v>0</v>
      </c>
      <c r="P144" s="254">
        <f>-J139</f>
        <v>-41814211.764705881</v>
      </c>
      <c r="Q144" s="255">
        <f>H140</f>
        <v>1436703431.3152249</v>
      </c>
      <c r="R144" s="193"/>
      <c r="S144" s="256">
        <v>0</v>
      </c>
      <c r="T144" s="254">
        <v>0</v>
      </c>
      <c r="U144" s="254">
        <v>1</v>
      </c>
      <c r="V144" s="254">
        <v>0</v>
      </c>
      <c r="W144" s="254">
        <v>0</v>
      </c>
      <c r="X144" s="255">
        <v>0</v>
      </c>
      <c r="Y144" s="193"/>
      <c r="Z144" s="254">
        <f>L144*S142+M144*S143+N144*S144+O144*S145+P144*S146+Q144*S147</f>
        <v>10141435.985754529</v>
      </c>
      <c r="AA144" s="254">
        <f>L144*T142+M144*T143+N144*T144+O144*T145+P144*T146+Q144*T147</f>
        <v>40565743.943018116</v>
      </c>
      <c r="AB144" s="254">
        <f>L144*U142+M144*U143+N144*U144+O144*U145+P144*U146+Q144*U147</f>
        <v>2873406862.6304498</v>
      </c>
      <c r="AC144" s="254">
        <f>L144*V142+M144*V143+N144*V144+O144*V145+P144*V146+Q144*V147</f>
        <v>-10141435.985754529</v>
      </c>
      <c r="AD144" s="254">
        <f>L144*W142+M144*W143+N144*W144+O144*W145+P144*W146+Q144*W147</f>
        <v>-40565743.943018116</v>
      </c>
      <c r="AE144" s="255">
        <f>L144*X142+M144*X143+N144*X144+O144*X145+P144*X146+Q144*X147</f>
        <v>1436703431.3152249</v>
      </c>
      <c r="AF144" s="193"/>
      <c r="AG144" s="257">
        <f t="shared" si="44"/>
        <v>5.7686073941296082E-5</v>
      </c>
      <c r="AH144" s="257"/>
      <c r="AI144" s="257">
        <f>Z144*AG142+AA144*AG143+AB144*AG144+AC144*AG145+AD144*AG146+AE144*AG147</f>
        <v>286110.30622660462</v>
      </c>
      <c r="AK144" s="296" t="s">
        <v>369</v>
      </c>
      <c r="AL144" s="293">
        <f>ABS((Z144*AG142+AA144*AG143+AB144*AG144+AC144*AG145+AD144*AG146+AE144*AG147)*($B$8+0.5*B20)/(2*((($B$7*($B$8)^3)/12)+($B$7*$B$8)*(B20+2*$B$8-0.5*$B$8-($B$8+0.5*B20))^2)+($B$9*(B20)^3)/12))</f>
        <v>137.94314253693361</v>
      </c>
      <c r="AM144" s="294" t="str">
        <f t="shared" si="45"/>
        <v>&lt;</v>
      </c>
      <c r="AN144" s="295">
        <f>$J$28</f>
        <v>1440</v>
      </c>
      <c r="AO144" s="298" t="s">
        <v>373</v>
      </c>
      <c r="AP144" s="305">
        <f>((ABS((Z142*AG142+AA142*AG143+AB142*AG144+AC142*AG145+AD142*AG146+AE142*AG147)/((2*$B$7*$B$8)+($B$9*B20))))/$F$28)+((ABS((Z144*AG142+AA144*AG143+AB144*AG144+AC144*AG145+AD144*AG146+AE144*AG147)*($B$8+0.5*B20)/(2*((($B$7*($B$8)^3)/12)+($B$7*$B$8)*(B20+2*$B$8-0.5*$B$8-($B$8+0.5*B20))^2)+($B$9*(B20)^3)/12)))/$J$28)</f>
        <v>0.101909880954468</v>
      </c>
      <c r="AQ144" s="294" t="str">
        <f t="shared" si="46"/>
        <v>&lt;</v>
      </c>
      <c r="AR144" s="295">
        <v>1</v>
      </c>
      <c r="AX144">
        <f t="shared" si="47"/>
        <v>33</v>
      </c>
      <c r="AY144">
        <f>AX144*1000+AY141</f>
        <v>33031</v>
      </c>
      <c r="AZ144">
        <f>AX144*1000+AZ141</f>
        <v>33032</v>
      </c>
      <c r="BA144">
        <f>AX144*1000+BA141</f>
        <v>33033</v>
      </c>
      <c r="BB144">
        <f>AX144*1000+BB141</f>
        <v>33034</v>
      </c>
      <c r="BC144">
        <f>AX144*1000+BC141</f>
        <v>33035</v>
      </c>
      <c r="BD144">
        <f>AX144*1000+BD141</f>
        <v>33036</v>
      </c>
    </row>
    <row r="145" spans="1:56" ht="16.5" thickBot="1" x14ac:dyDescent="0.3">
      <c r="A145" s="249">
        <f>-(F140*B139^2+J140*B140^2)</f>
        <v>-3499149.0169205903</v>
      </c>
      <c r="B145" s="245">
        <f>-(F140-J140)*B139*B140</f>
        <v>671958.53451505699</v>
      </c>
      <c r="C145" s="245">
        <f>J139*B140</f>
        <v>-10141435.985754529</v>
      </c>
      <c r="D145" s="258">
        <f>(F140*B139^2+J140*B140^2)</f>
        <v>3499149.0169205903</v>
      </c>
      <c r="E145" s="245">
        <f>(F140-J140)*B139*B140</f>
        <v>-671958.53451505699</v>
      </c>
      <c r="F145" s="245">
        <f>J139*B140</f>
        <v>-10141435.985754529</v>
      </c>
      <c r="G145" s="245">
        <v>34</v>
      </c>
      <c r="H145" s="246"/>
      <c r="I145" s="246"/>
      <c r="J145" s="253"/>
      <c r="K145" s="193"/>
      <c r="L145" s="254">
        <f>-F140</f>
        <v>-3667138.6505493545</v>
      </c>
      <c r="M145" s="254">
        <v>0</v>
      </c>
      <c r="N145" s="254">
        <v>0</v>
      </c>
      <c r="O145" s="254">
        <f>F140</f>
        <v>3667138.6505493545</v>
      </c>
      <c r="P145" s="254">
        <v>0</v>
      </c>
      <c r="Q145" s="255">
        <v>0</v>
      </c>
      <c r="R145" s="259" t="s">
        <v>287</v>
      </c>
      <c r="S145" s="256">
        <v>0</v>
      </c>
      <c r="T145" s="254">
        <v>0</v>
      </c>
      <c r="U145" s="254">
        <v>0</v>
      </c>
      <c r="V145" s="254">
        <f>B139</f>
        <v>0.97014250014533188</v>
      </c>
      <c r="W145" s="254">
        <f>B140</f>
        <v>-0.24253562503633297</v>
      </c>
      <c r="X145" s="255">
        <v>0</v>
      </c>
      <c r="Y145" s="260" t="s">
        <v>127</v>
      </c>
      <c r="Z145" s="254">
        <f>L145*S142+M145*S143+N145*S144+O145*S145+P145*S146+Q145*S147</f>
        <v>-3557647.0588235292</v>
      </c>
      <c r="AA145" s="254">
        <f>L145*T142+M145*T143+N145*T144+O145*T145+P145*T146+Q145*T147</f>
        <v>889411.76470588229</v>
      </c>
      <c r="AB145" s="254">
        <f>L145*U142+M145*U143+N145*U144+O145*U145+P145*U146+Q145*U147</f>
        <v>0</v>
      </c>
      <c r="AC145" s="254">
        <f>L145*V142+M145*V143+N145*V144+O145*V145+P145*V146+Q145*V147</f>
        <v>3557647.0588235292</v>
      </c>
      <c r="AD145" s="254">
        <f>L145*W142+M145*W143+N145*W144+O145*W145+P145*W146+Q145*W147</f>
        <v>-889411.76470588229</v>
      </c>
      <c r="AE145" s="255">
        <f>L145*X142+M145*X143+N145*X144+O145*X145+P145*X146+Q145*X147</f>
        <v>0</v>
      </c>
      <c r="AF145" s="259" t="s">
        <v>287</v>
      </c>
      <c r="AG145" s="257">
        <f t="shared" si="44"/>
        <v>0.55376035261392198</v>
      </c>
      <c r="AH145" s="259" t="s">
        <v>127</v>
      </c>
      <c r="AI145" s="257">
        <f>Z145*AG142+AA145*AG143+AB145*AG144+AC145*AG145+AD145*AG146+AE145*AG147</f>
        <v>-1585.2754867500553</v>
      </c>
      <c r="AK145" s="296" t="s">
        <v>370</v>
      </c>
      <c r="AL145" s="293">
        <f>ABS((Z145*AG142+AA145*AG143+AB145*AG144+AC145*AG145+AD145*AG146+AE145*AG147)/((2*$B$7*$B$8)+($B$9*B20)))</f>
        <v>8.8070860375003068</v>
      </c>
      <c r="AM145" s="294" t="str">
        <f t="shared" si="45"/>
        <v>&lt;</v>
      </c>
      <c r="AN145" s="295">
        <f>$F$28</f>
        <v>1440</v>
      </c>
      <c r="AO145" s="298" t="s">
        <v>378</v>
      </c>
      <c r="AP145" s="295">
        <f>(B20)/$B$9</f>
        <v>15</v>
      </c>
      <c r="AQ145" s="294" t="str">
        <f t="shared" si="46"/>
        <v>&lt;</v>
      </c>
      <c r="AR145" s="295">
        <f>6370/($J$28)^0.5</f>
        <v>167.86423912727147</v>
      </c>
      <c r="AX145">
        <f t="shared" si="47"/>
        <v>34</v>
      </c>
      <c r="AY145">
        <f>AX145*1000+AY141</f>
        <v>34031</v>
      </c>
      <c r="AZ145">
        <f>AX145*1000+AZ141</f>
        <v>34032</v>
      </c>
      <c r="BA145">
        <f>AX145*1000+BA141</f>
        <v>34033</v>
      </c>
      <c r="BB145">
        <f>AX145*1000+BB141</f>
        <v>34034</v>
      </c>
      <c r="BC145">
        <f>AX145*1000+BC141</f>
        <v>34035</v>
      </c>
      <c r="BD145">
        <f>AX145*1000+BD141</f>
        <v>34036</v>
      </c>
    </row>
    <row r="146" spans="1:56" ht="15.75" thickBot="1" x14ac:dyDescent="0.3">
      <c r="A146" s="249">
        <f>-(F140-J140)*B139*B140</f>
        <v>671958.53451505699</v>
      </c>
      <c r="B146" s="245">
        <f>-(F140*B140^2+J140*B139^2)</f>
        <v>-979304.51248912641</v>
      </c>
      <c r="C146" s="245">
        <f>-J139*B139</f>
        <v>-40565743.943018116</v>
      </c>
      <c r="D146" s="245">
        <f>(F140-J140)*B139*B140</f>
        <v>-671958.53451505699</v>
      </c>
      <c r="E146" s="258">
        <f>(F140*B140^2+J140*B139^2)</f>
        <v>979304.51248912641</v>
      </c>
      <c r="F146" s="245">
        <f>-J139*B139</f>
        <v>-40565743.943018116</v>
      </c>
      <c r="G146" s="245">
        <v>35</v>
      </c>
      <c r="H146" s="246"/>
      <c r="I146" s="246"/>
      <c r="J146" s="253"/>
      <c r="K146" s="193"/>
      <c r="L146" s="254">
        <v>0</v>
      </c>
      <c r="M146" s="254">
        <f>-J140</f>
        <v>-811314.87886036222</v>
      </c>
      <c r="N146" s="254">
        <f>-J139</f>
        <v>-41814211.764705881</v>
      </c>
      <c r="O146" s="254">
        <v>0</v>
      </c>
      <c r="P146" s="254">
        <f>J140</f>
        <v>811314.87886036222</v>
      </c>
      <c r="Q146" s="255">
        <f>-J139</f>
        <v>-41814211.764705881</v>
      </c>
      <c r="R146" s="193"/>
      <c r="S146" s="256">
        <v>0</v>
      </c>
      <c r="T146" s="254">
        <v>0</v>
      </c>
      <c r="U146" s="254">
        <v>0</v>
      </c>
      <c r="V146" s="254">
        <f>-B140</f>
        <v>0.24253562503633297</v>
      </c>
      <c r="W146" s="254">
        <f>B139</f>
        <v>0.97014250014533188</v>
      </c>
      <c r="X146" s="255">
        <v>0</v>
      </c>
      <c r="Y146" s="193"/>
      <c r="Z146" s="254">
        <f>L146*S142+M146*S143+N146*S144+O146*S145+P146*S146+Q146*S147</f>
        <v>-196772.76124567472</v>
      </c>
      <c r="AA146" s="254">
        <f>L146*T142+M146*T143+N146*T144+O146*T145+P146*T146+Q146*T147</f>
        <v>-787091.04498269886</v>
      </c>
      <c r="AB146" s="254">
        <f>L146*U142+M146*U143+N146*U144+O146*U145+P146*U146+Q146*U147</f>
        <v>-41814211.764705881</v>
      </c>
      <c r="AC146" s="254">
        <f>L146*V142+M146*V143+N146*V144+O146*V145+P146*V146+Q146*V147</f>
        <v>196772.76124567472</v>
      </c>
      <c r="AD146" s="254">
        <f>L146*W142+M146*W143+N146*W144+O146*W145+P146*W146+Q146*W147</f>
        <v>787091.04498269886</v>
      </c>
      <c r="AE146" s="255">
        <f>L146*X142+M146*X143+N146*X144+O146*X145+P146*X146+Q146*X147</f>
        <v>-41814211.764705881</v>
      </c>
      <c r="AF146" s="193"/>
      <c r="AG146" s="257">
        <f t="shared" si="44"/>
        <v>7.072145971393004E-2</v>
      </c>
      <c r="AH146" s="257"/>
      <c r="AI146" s="257">
        <f>Z146*AG142+AA146*AG143+AB146*AG144+AC146*AG145+AD146*AG146+AE146*AG147</f>
        <v>1085.4222125196793</v>
      </c>
      <c r="AK146" s="296" t="s">
        <v>371</v>
      </c>
      <c r="AL146" s="293">
        <f>ABS((Z146*AG142+AA146*AG143+AB146*AG144+AC146*AG145+AD146*AG146+AE146*AG147)/((2*$B$7*$B$8)+($B$9*B20)))</f>
        <v>6.0301234028871074</v>
      </c>
      <c r="AM146" s="294" t="str">
        <f t="shared" si="45"/>
        <v>&lt;</v>
      </c>
      <c r="AN146" s="295">
        <f>$H$28</f>
        <v>960</v>
      </c>
      <c r="AO146" s="298" t="s">
        <v>374</v>
      </c>
      <c r="AP146" s="295">
        <f>((ABS((Z146*AG142+AA146*AG143+AB146*AG144+AC146*AG145+AD146*AG146+AE146*AG147)/((2*$B$7*$B$8)+($B$9*B20))))/$H$28)</f>
        <v>6.2813785446740704E-3</v>
      </c>
      <c r="AQ146" s="294" t="str">
        <f t="shared" si="46"/>
        <v>&lt;</v>
      </c>
      <c r="AR146" s="295">
        <v>1</v>
      </c>
      <c r="AX146">
        <f t="shared" si="47"/>
        <v>35</v>
      </c>
      <c r="AY146">
        <f>AX146*1000+AY141</f>
        <v>35031</v>
      </c>
      <c r="AZ146">
        <f>AX146*1000+AZ141</f>
        <v>35032</v>
      </c>
      <c r="BA146">
        <f>AX146*1000+BA141</f>
        <v>35033</v>
      </c>
      <c r="BB146">
        <f>AX146*1000+BB141</f>
        <v>35034</v>
      </c>
      <c r="BC146">
        <f>AX146*1000+BC141</f>
        <v>35035</v>
      </c>
      <c r="BD146">
        <f>AX146*1000+BD141</f>
        <v>35036</v>
      </c>
    </row>
    <row r="147" spans="1:56" ht="15.75" thickBot="1" x14ac:dyDescent="0.3">
      <c r="A147" s="261">
        <f>-J139*B140</f>
        <v>10141435.985754529</v>
      </c>
      <c r="B147" s="262">
        <f>J139*B139</f>
        <v>40565743.943018116</v>
      </c>
      <c r="C147" s="262">
        <f>H140</f>
        <v>1436703431.3152249</v>
      </c>
      <c r="D147" s="262">
        <f>J139*B140</f>
        <v>-10141435.985754529</v>
      </c>
      <c r="E147" s="262">
        <f>-J139*B139</f>
        <v>-40565743.943018116</v>
      </c>
      <c r="F147" s="263">
        <f>H139</f>
        <v>2873406862.6304498</v>
      </c>
      <c r="G147" s="262">
        <v>36</v>
      </c>
      <c r="H147" s="264"/>
      <c r="I147" s="264"/>
      <c r="J147" s="265"/>
      <c r="K147" s="193"/>
      <c r="L147" s="254">
        <v>0</v>
      </c>
      <c r="M147" s="254">
        <f>J139</f>
        <v>41814211.764705881</v>
      </c>
      <c r="N147" s="254">
        <f>H140</f>
        <v>1436703431.3152249</v>
      </c>
      <c r="O147" s="254">
        <v>0</v>
      </c>
      <c r="P147" s="254">
        <f>-J139</f>
        <v>-41814211.764705881</v>
      </c>
      <c r="Q147" s="255">
        <f>H139</f>
        <v>2873406862.6304498</v>
      </c>
      <c r="R147" s="193"/>
      <c r="S147" s="256">
        <v>0</v>
      </c>
      <c r="T147" s="254">
        <v>0</v>
      </c>
      <c r="U147" s="254">
        <v>0</v>
      </c>
      <c r="V147" s="254">
        <v>0</v>
      </c>
      <c r="W147" s="254">
        <v>0</v>
      </c>
      <c r="X147" s="255">
        <v>1</v>
      </c>
      <c r="Y147" s="193"/>
      <c r="Z147" s="254">
        <f>L147*S142+M147*S143+N147*S144+O147*S145+P147*S146+Q147*S147</f>
        <v>10141435.985754529</v>
      </c>
      <c r="AA147" s="254">
        <f>L147*T142+M147*T143+N147*T144+O147*T145+P147*T146+Q147*T147</f>
        <v>40565743.943018116</v>
      </c>
      <c r="AB147" s="254">
        <f>L147*U142+M147*U143+N147*U144+O147*U145+P147*U146+Q147*U147</f>
        <v>1436703431.3152249</v>
      </c>
      <c r="AC147" s="254">
        <f>L147*V142+M147*V143+N147*V144+O147*V145+P147*V146+Q147*V147</f>
        <v>-10141435.985754529</v>
      </c>
      <c r="AD147" s="254">
        <f>L147*W142+M147*W143+N147*W144+O147*W145+P147*W146+Q147*W147</f>
        <v>-40565743.943018116</v>
      </c>
      <c r="AE147" s="255">
        <f>L147*X142+M147*X143+N147*X144+O147*X145+P147*X146+Q147*X147</f>
        <v>2873406862.6304498</v>
      </c>
      <c r="AF147" s="193"/>
      <c r="AG147" s="257">
        <f t="shared" si="44"/>
        <v>-4.1847578264465592E-4</v>
      </c>
      <c r="AH147" s="257"/>
      <c r="AI147" s="257">
        <f>Z147*AG142+AA147*AG143+AB147*AG144+AC147*AG145+AD147*AG146+AE147*AG147</f>
        <v>-397993.06699186191</v>
      </c>
      <c r="AK147" s="296" t="s">
        <v>372</v>
      </c>
      <c r="AL147" s="293">
        <f>ABS((Z147*AG142+AA147*AG143+AB147*AG144+AC147*AG145+AD147*AG146+AE147*AG147)*($B$8+0.5*B20)/(2*((($B$7*($B$8)^3)/12)+($B$7*$B$8)*(B20+2*$B$8-0.5*$B$8-($B$8+0.5*B20))^2)+($B$9*(B20)^3)/12))</f>
        <v>191.88548323487387</v>
      </c>
      <c r="AM147" s="294" t="str">
        <f t="shared" si="45"/>
        <v>&lt;</v>
      </c>
      <c r="AN147" s="295">
        <f>$J$28</f>
        <v>1440</v>
      </c>
      <c r="AO147" s="298" t="s">
        <v>373</v>
      </c>
      <c r="AP147" s="305">
        <f>((ABS((Z145*AG142+AA145*AG143+AB145*AG144+AC145*AG145+AD145*AG146+AE145*AG147)/((2*$B$7*$B$8)+($B$9*B20))))/$F$28)+((ABS((Z147*AG142+AA147*AG143+AB147*AG144+AC147*AG145+AD147*AG146+AE147*AG147)*($B$8+0.5*B20)/(2*((($B$7*($B$8)^3)/12)+($B$7*$B$8)*(B20+2*$B$8-0.5*$B$8-($B$8+0.5*B20))^2)+($B$9*(B20)^3)/12)))/$J$28)</f>
        <v>0.13936983977248207</v>
      </c>
      <c r="AQ147" s="294" t="str">
        <f t="shared" si="46"/>
        <v>&lt;</v>
      </c>
      <c r="AR147" s="295">
        <v>1</v>
      </c>
      <c r="AX147">
        <f t="shared" si="47"/>
        <v>36</v>
      </c>
      <c r="AY147">
        <f>AX147*1000+AY141</f>
        <v>36031</v>
      </c>
      <c r="AZ147">
        <f>AX147*1000+AZ141</f>
        <v>36032</v>
      </c>
      <c r="BA147">
        <f>AX147*1000+BA141</f>
        <v>36033</v>
      </c>
      <c r="BB147">
        <f>AX147*1000+BB141</f>
        <v>36034</v>
      </c>
      <c r="BC147">
        <f>AX147*1000+BC141</f>
        <v>36035</v>
      </c>
      <c r="BD147">
        <f>AX147*1000+BD141</f>
        <v>36036</v>
      </c>
    </row>
    <row r="148" spans="1:56" x14ac:dyDescent="0.25">
      <c r="A148" s="239" t="s">
        <v>279</v>
      </c>
      <c r="B148" s="240">
        <f>(D43-B43)/F43</f>
        <v>0.97014250014533188</v>
      </c>
      <c r="C148" s="241" t="s">
        <v>280</v>
      </c>
      <c r="D148" s="240">
        <f>$B$8+0.5*B21</f>
        <v>17</v>
      </c>
      <c r="E148" s="241" t="s">
        <v>30</v>
      </c>
      <c r="F148" s="242">
        <f>2*((($B$7*($B$8)^3)/12)+($B$7*$B$8)*(B21+2*$B$8-0.5*$B$8-($B$8+0.5*B21))^2)+($B$9*(B21)^3)/12</f>
        <v>35260</v>
      </c>
      <c r="G148" s="241" t="s">
        <v>281</v>
      </c>
      <c r="H148" s="241">
        <f>4*$B$28*(2*((($B$7*($B$8)^3)/12)+($B$7*$B$8)*(B21+2*$B$8-0.5*$B$8-($B$8+0.5*B21))^2)+($B$9*(B21)^3)/12)/F43</f>
        <v>2873406862.6304498</v>
      </c>
      <c r="I148" s="241" t="s">
        <v>282</v>
      </c>
      <c r="J148" s="243">
        <f>6*$B$28*(2*((($B$7*($B$8)^3)/12)+($B$7*$B$8)*(B21+2*$B$8-0.5*$B$8-($B$8+0.5*B21))^2)+($B$9*(B21)^3)/12)/(F43^2)</f>
        <v>41814211.764705881</v>
      </c>
    </row>
    <row r="149" spans="1:56" x14ac:dyDescent="0.25">
      <c r="A149" s="244" t="s">
        <v>283</v>
      </c>
      <c r="B149" s="245">
        <f>(E43-C43)/F43</f>
        <v>-0.24253562503633297</v>
      </c>
      <c r="C149" s="246" t="s">
        <v>13</v>
      </c>
      <c r="D149" s="247">
        <f>(2*$B$7*$B$8)+($B$9*B21)</f>
        <v>180</v>
      </c>
      <c r="E149" s="246" t="s">
        <v>284</v>
      </c>
      <c r="F149" s="246">
        <f>$B$28*((2*$B$7*$B$8)+($B$9*B21))/F43</f>
        <v>3667138.6505493545</v>
      </c>
      <c r="G149" s="246" t="s">
        <v>285</v>
      </c>
      <c r="H149" s="246">
        <f>2*$B$28*(2*((($B$7*($B$8)^3)/12)+($B$7*$B$8)*(B21+2*$B$8-0.5*$B$8-($B$8+0.5*B21))^2)+($B$9*(B21)^3)/12)/F43</f>
        <v>1436703431.3152249</v>
      </c>
      <c r="I149" s="246" t="s">
        <v>286</v>
      </c>
      <c r="J149" s="248">
        <f>12*$B$28*(2*((($B$7*($B$8)^3)/12)+($B$7*$B$8)*(B21+2*$B$8-0.5*$B$8-($B$8+0.5*B21))^2)+($B$9*(B21)^3)/12)/(F43^3)</f>
        <v>811314.87886036222</v>
      </c>
    </row>
    <row r="150" spans="1:56" ht="15.75" thickBot="1" x14ac:dyDescent="0.3">
      <c r="A150" s="249">
        <f>G151</f>
        <v>34</v>
      </c>
      <c r="B150" s="245">
        <f>G152</f>
        <v>35</v>
      </c>
      <c r="C150" s="245">
        <f>G153</f>
        <v>36</v>
      </c>
      <c r="D150" s="245">
        <f>G154</f>
        <v>37</v>
      </c>
      <c r="E150" s="245">
        <f>G155</f>
        <v>38</v>
      </c>
      <c r="F150" s="245">
        <f>G156</f>
        <v>39</v>
      </c>
      <c r="G150" s="250"/>
      <c r="H150" s="246"/>
      <c r="I150" s="246"/>
      <c r="J150" s="251">
        <v>12</v>
      </c>
      <c r="AY150">
        <f>AX151</f>
        <v>34</v>
      </c>
      <c r="AZ150">
        <f>AX152</f>
        <v>35</v>
      </c>
      <c r="BA150">
        <f>AX153</f>
        <v>36</v>
      </c>
      <c r="BB150">
        <f>AX154</f>
        <v>37</v>
      </c>
      <c r="BC150">
        <f>AX155</f>
        <v>38</v>
      </c>
      <c r="BD150">
        <f>AX156</f>
        <v>39</v>
      </c>
    </row>
    <row r="151" spans="1:56" ht="15.75" thickBot="1" x14ac:dyDescent="0.3">
      <c r="A151" s="252">
        <f>(F149*B148^2+J149*B149^2)</f>
        <v>3499149.0169205903</v>
      </c>
      <c r="B151" s="245">
        <f>(F149-J149)*B148*B149</f>
        <v>-671958.53451505699</v>
      </c>
      <c r="C151" s="245">
        <f>-J148*B149</f>
        <v>10141435.985754529</v>
      </c>
      <c r="D151" s="245">
        <f>-(F149*B148^2+J149*B149^2)</f>
        <v>-3499149.0169205903</v>
      </c>
      <c r="E151" s="245">
        <f>-(F149-J149)*B148*B149</f>
        <v>671958.53451505699</v>
      </c>
      <c r="F151" s="245">
        <f>-J148*B149</f>
        <v>10141435.985754529</v>
      </c>
      <c r="G151" s="245">
        <v>34</v>
      </c>
      <c r="H151" s="246"/>
      <c r="I151" s="250"/>
      <c r="J151" s="253"/>
      <c r="K151" s="193"/>
      <c r="L151" s="254">
        <f>F149</f>
        <v>3667138.6505493545</v>
      </c>
      <c r="M151" s="254">
        <v>0</v>
      </c>
      <c r="N151" s="254">
        <v>0</v>
      </c>
      <c r="O151" s="254">
        <f>-F149</f>
        <v>-3667138.6505493545</v>
      </c>
      <c r="P151" s="254">
        <v>0</v>
      </c>
      <c r="Q151" s="255">
        <v>0</v>
      </c>
      <c r="R151" s="193"/>
      <c r="S151" s="256">
        <f>B148</f>
        <v>0.97014250014533188</v>
      </c>
      <c r="T151" s="254">
        <f>B149</f>
        <v>-0.24253562503633297</v>
      </c>
      <c r="U151" s="254">
        <v>0</v>
      </c>
      <c r="V151" s="254">
        <v>0</v>
      </c>
      <c r="W151" s="254">
        <v>0</v>
      </c>
      <c r="X151" s="255">
        <v>0</v>
      </c>
      <c r="Y151" s="193"/>
      <c r="Z151" s="254">
        <f>L151*S151+M151*S152+N151*S153+O151*S154+P151*S155+Q151*S156</f>
        <v>3557647.0588235292</v>
      </c>
      <c r="AA151" s="254">
        <f>L151*T151+M151*T152+N151*T153+O151*T154+P151*T155+Q151*T156</f>
        <v>-889411.76470588229</v>
      </c>
      <c r="AB151" s="254">
        <f>L151*U151+M151*U152+N151*U153+O151*U154+P151*U155+Q151*U156</f>
        <v>0</v>
      </c>
      <c r="AC151" s="254">
        <f>L151*V151+M151*V152+N151*V153+O151*V154+P151*V155+Q151*V156</f>
        <v>-3557647.0588235292</v>
      </c>
      <c r="AD151" s="254">
        <f>L151*W151+M151*W152+N151*W153+O151*W154+P151*W155+Q151*W156</f>
        <v>889411.76470588229</v>
      </c>
      <c r="AE151" s="255">
        <f>L151*X151+M151*X152+N151*X153+O151*X154+P151*X155+Q151*X156</f>
        <v>0</v>
      </c>
      <c r="AF151" s="193"/>
      <c r="AG151" s="257">
        <f t="shared" ref="AG151:AG156" si="48">K19</f>
        <v>0.55376035261392198</v>
      </c>
      <c r="AH151" s="257"/>
      <c r="AI151" s="257">
        <f>Z151*AG151+AA151*AG152+AB151*AG153+AC151*AG154+AD151*AG155+AE151*AG156</f>
        <v>1585.2754867503704</v>
      </c>
      <c r="AK151" s="296" t="s">
        <v>367</v>
      </c>
      <c r="AL151" s="293">
        <f>ABS((Z151*AG151+AA151*AG152+AB151*AG153+AC151*AG154+AD151*AG155+AE151*AG156)/((2*$B$7*$B$8)+($B$9*B21)))</f>
        <v>8.8070860375020583</v>
      </c>
      <c r="AM151" s="294" t="str">
        <f t="shared" ref="AM151:AM156" si="49">IF(AL151&gt;AN151,"&gt;",IF(AL151&lt;AN151,"&lt;",))</f>
        <v>&lt;</v>
      </c>
      <c r="AN151" s="295">
        <f>$F$28</f>
        <v>1440</v>
      </c>
      <c r="AO151" s="298" t="s">
        <v>379</v>
      </c>
      <c r="AP151" s="295">
        <f>(ABS((Z151*AG151+AA151*AG152+AB151*AG153+AC151*AG154+AD151*AG155+AE151*AG156)/((2*$B$7*$B$8)+($B$9*B21))))/$F$28</f>
        <v>6.1160319704875402E-3</v>
      </c>
      <c r="AQ151" s="294" t="str">
        <f t="shared" ref="AQ151:AQ156" si="50">IF(AP151&gt;AR151,"&gt;",IF(AP151&lt;AR151,"&lt;",))</f>
        <v>&lt;</v>
      </c>
      <c r="AR151" s="295">
        <v>0.15</v>
      </c>
      <c r="AX151">
        <f t="shared" ref="AX151:AX156" si="51">G151</f>
        <v>34</v>
      </c>
      <c r="AY151">
        <f>AX151*1000+AY150</f>
        <v>34034</v>
      </c>
      <c r="AZ151">
        <f>AX151*1000+AZ150</f>
        <v>34035</v>
      </c>
      <c r="BA151">
        <f>AX151*1000+BA150</f>
        <v>34036</v>
      </c>
      <c r="BB151">
        <f>AX151*1000+BB150</f>
        <v>34037</v>
      </c>
      <c r="BC151">
        <f>AX151*1000+BC150</f>
        <v>34038</v>
      </c>
      <c r="BD151">
        <f>AX151*1000+BD150</f>
        <v>34039</v>
      </c>
    </row>
    <row r="152" spans="1:56" ht="15.75" thickBot="1" x14ac:dyDescent="0.3">
      <c r="A152" s="249">
        <f>(F149-J149)*B148*B149</f>
        <v>-671958.53451505699</v>
      </c>
      <c r="B152" s="258">
        <f>(F149*B149^2+J149*B148^2)</f>
        <v>979304.51248912641</v>
      </c>
      <c r="C152" s="245">
        <f>J148*B148</f>
        <v>40565743.943018116</v>
      </c>
      <c r="D152" s="245">
        <f>-(F149-J149)*B148*B149</f>
        <v>671958.53451505699</v>
      </c>
      <c r="E152" s="245">
        <f>-(F149*B149^2+J149*B148^2)</f>
        <v>-979304.51248912641</v>
      </c>
      <c r="F152" s="245">
        <f>J148*B148</f>
        <v>40565743.943018116</v>
      </c>
      <c r="G152" s="245">
        <v>35</v>
      </c>
      <c r="H152" s="246"/>
      <c r="I152" s="246"/>
      <c r="J152" s="253"/>
      <c r="K152" s="193"/>
      <c r="L152" s="254">
        <v>0</v>
      </c>
      <c r="M152" s="254">
        <f>J149</f>
        <v>811314.87886036222</v>
      </c>
      <c r="N152" s="254">
        <f>J148</f>
        <v>41814211.764705881</v>
      </c>
      <c r="O152" s="254">
        <v>0</v>
      </c>
      <c r="P152" s="254">
        <f>-J149</f>
        <v>-811314.87886036222</v>
      </c>
      <c r="Q152" s="255">
        <f>J148</f>
        <v>41814211.764705881</v>
      </c>
      <c r="R152" s="193"/>
      <c r="S152" s="256">
        <f>-B149</f>
        <v>0.24253562503633297</v>
      </c>
      <c r="T152" s="254">
        <f>B148</f>
        <v>0.97014250014533188</v>
      </c>
      <c r="U152" s="254">
        <v>0</v>
      </c>
      <c r="V152" s="254">
        <v>0</v>
      </c>
      <c r="W152" s="254">
        <v>0</v>
      </c>
      <c r="X152" s="255">
        <v>0</v>
      </c>
      <c r="Y152" s="193"/>
      <c r="Z152" s="254">
        <f>L152*S151+M152*S152+N152*S153+O152*S154+P152*S155+Q152*S156</f>
        <v>196772.76124567472</v>
      </c>
      <c r="AA152" s="254">
        <f>L152*T151+M152*T152+N152*T153+O152*T154+P152*T155+Q152*T156</f>
        <v>787091.04498269886</v>
      </c>
      <c r="AB152" s="254">
        <f>L152*U151+M152*U152+N152*U153+O152*U154+P152*U155+Q152*U156</f>
        <v>41814211.764705881</v>
      </c>
      <c r="AC152" s="254">
        <f>L152*V151+M152*V152+N152*V153+O152*V154+P152*V155+Q152*V156</f>
        <v>-196772.76124567472</v>
      </c>
      <c r="AD152" s="254">
        <f>L152*W151+M152*W152+N152*W153+O152*W154+P152*W155+Q152*W156</f>
        <v>-787091.04498269886</v>
      </c>
      <c r="AE152" s="255">
        <f>L152*X151+M152*X152+N152*X153+O152*X154+P152*X155+Q152*X156</f>
        <v>41814211.764705881</v>
      </c>
      <c r="AF152" s="193"/>
      <c r="AG152" s="257">
        <f t="shared" si="48"/>
        <v>7.072145971393004E-2</v>
      </c>
      <c r="AH152" s="257"/>
      <c r="AI152" s="257">
        <f>Z152*AG151+AA152*AG152+AB152*AG153+AC152*AG154+AD152*AG155+AE152*AG156</f>
        <v>-1085.4222125196247</v>
      </c>
      <c r="AK152" s="296" t="s">
        <v>368</v>
      </c>
      <c r="AL152" s="293">
        <f>ABS((Z152*AG151+AA152*AG152+AB152*AG153+AC152*AG154+AD152*AG155+AE152*AG156)/((2*$B$7*$B$8)+($B$9*B21)))</f>
        <v>6.0301234028868045</v>
      </c>
      <c r="AM152" s="294" t="str">
        <f t="shared" si="49"/>
        <v>&lt;</v>
      </c>
      <c r="AN152" s="295">
        <f>$H$28</f>
        <v>960</v>
      </c>
      <c r="AO152" s="298" t="s">
        <v>374</v>
      </c>
      <c r="AP152" s="295">
        <f>((ABS((Z152*AG151+AA152*AG152+AB152*AG153+AC152*AG154+AD152*AG155+AE152*AG156)/((2*$B$7*$B$8)+($B$9*B21))))/$H$28)</f>
        <v>6.2813785446737547E-3</v>
      </c>
      <c r="AQ152" s="294" t="str">
        <f t="shared" si="50"/>
        <v>&lt;</v>
      </c>
      <c r="AR152" s="295">
        <v>1</v>
      </c>
      <c r="AX152">
        <f t="shared" si="51"/>
        <v>35</v>
      </c>
      <c r="AY152">
        <f>AX152*1000+AY150</f>
        <v>35034</v>
      </c>
      <c r="AZ152">
        <f>AX152*1000+AZ150</f>
        <v>35035</v>
      </c>
      <c r="BA152">
        <f>AX152*1000+BA150</f>
        <v>35036</v>
      </c>
      <c r="BB152">
        <f>AX152*1000+BB150</f>
        <v>35037</v>
      </c>
      <c r="BC152">
        <f>AX152*1000+BC150</f>
        <v>35038</v>
      </c>
      <c r="BD152">
        <f>AX152*1000+BD150</f>
        <v>35039</v>
      </c>
    </row>
    <row r="153" spans="1:56" ht="15.75" thickBot="1" x14ac:dyDescent="0.3">
      <c r="A153" s="249">
        <f>-J148*B149</f>
        <v>10141435.985754529</v>
      </c>
      <c r="B153" s="245">
        <f>J148*B148</f>
        <v>40565743.943018116</v>
      </c>
      <c r="C153" s="258">
        <f>H148</f>
        <v>2873406862.6304498</v>
      </c>
      <c r="D153" s="245">
        <f>J148*B149</f>
        <v>-10141435.985754529</v>
      </c>
      <c r="E153" s="245">
        <f>-J148*B148</f>
        <v>-40565743.943018116</v>
      </c>
      <c r="F153" s="245">
        <f>H149</f>
        <v>1436703431.3152249</v>
      </c>
      <c r="G153" s="245">
        <v>36</v>
      </c>
      <c r="H153" s="246"/>
      <c r="I153" s="246"/>
      <c r="J153" s="253"/>
      <c r="K153" s="193"/>
      <c r="L153" s="254">
        <v>0</v>
      </c>
      <c r="M153" s="254">
        <f>J148</f>
        <v>41814211.764705881</v>
      </c>
      <c r="N153" s="254">
        <f>H148</f>
        <v>2873406862.6304498</v>
      </c>
      <c r="O153" s="254">
        <v>0</v>
      </c>
      <c r="P153" s="254">
        <f>-J148</f>
        <v>-41814211.764705881</v>
      </c>
      <c r="Q153" s="255">
        <f>H149</f>
        <v>1436703431.3152249</v>
      </c>
      <c r="R153" s="193"/>
      <c r="S153" s="256">
        <v>0</v>
      </c>
      <c r="T153" s="254">
        <v>0</v>
      </c>
      <c r="U153" s="254">
        <v>1</v>
      </c>
      <c r="V153" s="254">
        <v>0</v>
      </c>
      <c r="W153" s="254">
        <v>0</v>
      </c>
      <c r="X153" s="255">
        <v>0</v>
      </c>
      <c r="Y153" s="193"/>
      <c r="Z153" s="254">
        <f>L153*S151+M153*S152+N153*S153+O153*S154+P153*S155+Q153*S156</f>
        <v>10141435.985754529</v>
      </c>
      <c r="AA153" s="254">
        <f>L153*T151+M153*T152+N153*T153+O153*T154+P153*T155+Q153*T156</f>
        <v>40565743.943018116</v>
      </c>
      <c r="AB153" s="254">
        <f>L153*U151+M153*U152+N153*U153+O153*U154+P153*U155+Q153*U156</f>
        <v>2873406862.6304498</v>
      </c>
      <c r="AC153" s="254">
        <f>L153*V151+M153*V152+N153*V153+O153*V154+P153*V155+Q153*V156</f>
        <v>-10141435.985754529</v>
      </c>
      <c r="AD153" s="254">
        <f>L153*W151+M153*W152+N153*W153+O153*W154+P153*W155+Q153*W156</f>
        <v>-40565743.943018116</v>
      </c>
      <c r="AE153" s="255">
        <f>L153*X151+M153*X152+N153*X153+O153*X154+P153*X155+Q153*X156</f>
        <v>1436703431.3152249</v>
      </c>
      <c r="AF153" s="193"/>
      <c r="AG153" s="257">
        <f t="shared" si="48"/>
        <v>-4.1847578264465592E-4</v>
      </c>
      <c r="AH153" s="257"/>
      <c r="AI153" s="257">
        <f>Z153*AG151+AA153*AG152+AB153*AG153+AC153*AG154+AD153*AG155+AE153*AG156</f>
        <v>397993.06699186121</v>
      </c>
      <c r="AK153" s="296" t="s">
        <v>369</v>
      </c>
      <c r="AL153" s="293">
        <f>ABS((Z153*AG151+AA153*AG152+AB153*AG153+AC153*AG154+AD153*AG155+AE153*AG156)*($B$8+0.5*B21)/(2*((($B$7*($B$8)^3)/12)+($B$7*$B$8)*(B21+2*$B$8-0.5*$B$8-($B$8+0.5*B21))^2)+($B$9*(B21)^3)/12))</f>
        <v>191.88548323487353</v>
      </c>
      <c r="AM153" s="294" t="str">
        <f t="shared" si="49"/>
        <v>&lt;</v>
      </c>
      <c r="AN153" s="295">
        <f>$J$28</f>
        <v>1440</v>
      </c>
      <c r="AO153" s="298" t="s">
        <v>373</v>
      </c>
      <c r="AP153" s="305">
        <f>((ABS((Z151*AG151+AA151*AG152+AB151*AG153+AC151*AG154+AD151*AG155+AE151*AG156)/((2*$B$7*$B$8)+($B$9*B21))))/$F$28)+((ABS((Z153*AG151+AA153*AG152+AB153*AG153+AC153*AG154+AD153*AG155+AE153*AG156)*($B$8+0.5*B21)/(2*((($B$7*($B$8)^3)/12)+($B$7*$B$8)*(B21+2*$B$8-0.5*$B$8-($B$8+0.5*B21))^2)+($B$9*(B21)^3)/12)))/$J$28)</f>
        <v>0.13936983977248305</v>
      </c>
      <c r="AQ153" s="294" t="str">
        <f t="shared" si="50"/>
        <v>&lt;</v>
      </c>
      <c r="AR153" s="295">
        <v>1</v>
      </c>
      <c r="AX153">
        <f t="shared" si="51"/>
        <v>36</v>
      </c>
      <c r="AY153">
        <f>AX153*1000+AY150</f>
        <v>36034</v>
      </c>
      <c r="AZ153">
        <f>AX153*1000+AZ150</f>
        <v>36035</v>
      </c>
      <c r="BA153">
        <f>AX153*1000+BA150</f>
        <v>36036</v>
      </c>
      <c r="BB153">
        <f>AX153*1000+BB150</f>
        <v>36037</v>
      </c>
      <c r="BC153">
        <f>AX153*1000+BC150</f>
        <v>36038</v>
      </c>
      <c r="BD153">
        <f>AX153*1000+BD150</f>
        <v>36039</v>
      </c>
    </row>
    <row r="154" spans="1:56" ht="16.5" thickBot="1" x14ac:dyDescent="0.3">
      <c r="A154" s="249">
        <f>-(F149*B148^2+J149*B149^2)</f>
        <v>-3499149.0169205903</v>
      </c>
      <c r="B154" s="245">
        <f>-(F149-J149)*B148*B149</f>
        <v>671958.53451505699</v>
      </c>
      <c r="C154" s="245">
        <f>J148*B149</f>
        <v>-10141435.985754529</v>
      </c>
      <c r="D154" s="258">
        <f>(F149*B148^2+J149*B149^2)</f>
        <v>3499149.0169205903</v>
      </c>
      <c r="E154" s="245">
        <f>(F149-J149)*B148*B149</f>
        <v>-671958.53451505699</v>
      </c>
      <c r="F154" s="245">
        <f>J148*B149</f>
        <v>-10141435.985754529</v>
      </c>
      <c r="G154" s="245">
        <v>37</v>
      </c>
      <c r="H154" s="246"/>
      <c r="I154" s="246"/>
      <c r="J154" s="253"/>
      <c r="K154" s="193"/>
      <c r="L154" s="254">
        <f>-F149</f>
        <v>-3667138.6505493545</v>
      </c>
      <c r="M154" s="254">
        <v>0</v>
      </c>
      <c r="N154" s="254">
        <v>0</v>
      </c>
      <c r="O154" s="254">
        <f>F149</f>
        <v>3667138.6505493545</v>
      </c>
      <c r="P154" s="254">
        <v>0</v>
      </c>
      <c r="Q154" s="255">
        <v>0</v>
      </c>
      <c r="R154" s="259" t="s">
        <v>287</v>
      </c>
      <c r="S154" s="256">
        <v>0</v>
      </c>
      <c r="T154" s="254">
        <v>0</v>
      </c>
      <c r="U154" s="254">
        <v>0</v>
      </c>
      <c r="V154" s="254">
        <f>B148</f>
        <v>0.97014250014533188</v>
      </c>
      <c r="W154" s="254">
        <f>B149</f>
        <v>-0.24253562503633297</v>
      </c>
      <c r="X154" s="255">
        <v>0</v>
      </c>
      <c r="Y154" s="260" t="s">
        <v>127</v>
      </c>
      <c r="Z154" s="254">
        <f>L154*S151+M154*S152+N154*S153+O154*S154+P154*S155+Q154*S156</f>
        <v>-3557647.0588235292</v>
      </c>
      <c r="AA154" s="254">
        <f>L154*T151+M154*T152+N154*T153+O154*T154+P154*T155+Q154*T156</f>
        <v>889411.76470588229</v>
      </c>
      <c r="AB154" s="254">
        <f>L154*U151+M154*U152+N154*U153+O154*U154+P154*U155+Q154*U156</f>
        <v>0</v>
      </c>
      <c r="AC154" s="254">
        <f>L154*V151+M154*V152+N154*V153+O154*V154+P154*V155+Q154*V156</f>
        <v>3557647.0588235292</v>
      </c>
      <c r="AD154" s="254">
        <f>L154*W151+M154*W152+N154*W153+O154*W154+P154*W155+Q154*W156</f>
        <v>-889411.76470588229</v>
      </c>
      <c r="AE154" s="255">
        <f>L154*X151+M154*X152+N154*X153+O154*X154+P154*X155+Q154*X156</f>
        <v>0</v>
      </c>
      <c r="AF154" s="259" t="s">
        <v>287</v>
      </c>
      <c r="AG154" s="257">
        <f t="shared" si="48"/>
        <v>0.53530466148290456</v>
      </c>
      <c r="AH154" s="259" t="s">
        <v>127</v>
      </c>
      <c r="AI154" s="257">
        <f>Z154*AG151+AA154*AG152+AB154*AG153+AC154*AG154+AD154*AG155+AE154*AG156</f>
        <v>-1585.2754867503704</v>
      </c>
      <c r="AK154" s="296" t="s">
        <v>370</v>
      </c>
      <c r="AL154" s="293">
        <f>ABS((Z154*AG151+AA154*AG152+AB154*AG153+AC154*AG154+AD154*AG155+AE154*AG156)/((2*$B$7*$B$8)+($B$9*B21)))</f>
        <v>8.8070860375020583</v>
      </c>
      <c r="AM154" s="294" t="str">
        <f t="shared" si="49"/>
        <v>&lt;</v>
      </c>
      <c r="AN154" s="295">
        <f>$F$28</f>
        <v>1440</v>
      </c>
      <c r="AO154" s="298" t="s">
        <v>378</v>
      </c>
      <c r="AP154" s="295">
        <f>(B21)/$B$9</f>
        <v>15</v>
      </c>
      <c r="AQ154" s="294" t="str">
        <f t="shared" si="50"/>
        <v>&lt;</v>
      </c>
      <c r="AR154" s="295">
        <f>6370/($J$28)^0.5</f>
        <v>167.86423912727147</v>
      </c>
      <c r="AX154">
        <f t="shared" si="51"/>
        <v>37</v>
      </c>
      <c r="AY154">
        <f>AX154*1000+AY150</f>
        <v>37034</v>
      </c>
      <c r="AZ154">
        <f>AX154*1000+AZ150</f>
        <v>37035</v>
      </c>
      <c r="BA154">
        <f>AX154*1000+BA150</f>
        <v>37036</v>
      </c>
      <c r="BB154">
        <f>AX154*1000+BB150</f>
        <v>37037</v>
      </c>
      <c r="BC154">
        <f>AX154*1000+BC150</f>
        <v>37038</v>
      </c>
      <c r="BD154">
        <f>AX154*1000+BD150</f>
        <v>37039</v>
      </c>
    </row>
    <row r="155" spans="1:56" ht="15.75" thickBot="1" x14ac:dyDescent="0.3">
      <c r="A155" s="249">
        <f>-(F149-J149)*B148*B149</f>
        <v>671958.53451505699</v>
      </c>
      <c r="B155" s="245">
        <f>-(F149*B149^2+J149*B148^2)</f>
        <v>-979304.51248912641</v>
      </c>
      <c r="C155" s="245">
        <f>-J148*B148</f>
        <v>-40565743.943018116</v>
      </c>
      <c r="D155" s="245">
        <f>(F149-J149)*B148*B149</f>
        <v>-671958.53451505699</v>
      </c>
      <c r="E155" s="258">
        <f>(F149*B149^2+J149*B148^2)</f>
        <v>979304.51248912641</v>
      </c>
      <c r="F155" s="245">
        <f>-J148*B148</f>
        <v>-40565743.943018116</v>
      </c>
      <c r="G155" s="245">
        <v>38</v>
      </c>
      <c r="H155" s="246"/>
      <c r="I155" s="246"/>
      <c r="J155" s="253"/>
      <c r="K155" s="193"/>
      <c r="L155" s="254">
        <v>0</v>
      </c>
      <c r="M155" s="254">
        <f>-J149</f>
        <v>-811314.87886036222</v>
      </c>
      <c r="N155" s="254">
        <f>-J148</f>
        <v>-41814211.764705881</v>
      </c>
      <c r="O155" s="254">
        <v>0</v>
      </c>
      <c r="P155" s="254">
        <f>J149</f>
        <v>811314.87886036222</v>
      </c>
      <c r="Q155" s="255">
        <f>-J148</f>
        <v>-41814211.764705881</v>
      </c>
      <c r="R155" s="193"/>
      <c r="S155" s="256">
        <v>0</v>
      </c>
      <c r="T155" s="254">
        <v>0</v>
      </c>
      <c r="U155" s="254">
        <v>0</v>
      </c>
      <c r="V155" s="254">
        <f>-B149</f>
        <v>0.24253562503633297</v>
      </c>
      <c r="W155" s="254">
        <f>B148</f>
        <v>0.97014250014533188</v>
      </c>
      <c r="X155" s="255">
        <v>0</v>
      </c>
      <c r="Y155" s="193"/>
      <c r="Z155" s="254">
        <f>L155*S151+M155*S152+N155*S153+O155*S154+P155*S155+Q155*S156</f>
        <v>-196772.76124567472</v>
      </c>
      <c r="AA155" s="254">
        <f>L155*T151+M155*T152+N155*T153+O155*T154+P155*T155+Q155*T156</f>
        <v>-787091.04498269886</v>
      </c>
      <c r="AB155" s="254">
        <f>L155*U151+M155*U152+N155*U153+O155*U154+P155*U155+Q155*U156</f>
        <v>-41814211.764705881</v>
      </c>
      <c r="AC155" s="254">
        <f>L155*V151+M155*V152+N155*V153+O155*V154+P155*V155+Q155*V156</f>
        <v>196772.76124567472</v>
      </c>
      <c r="AD155" s="254">
        <f>L155*W151+M155*W152+N155*W153+O155*W154+P155*W155+Q155*W156</f>
        <v>787091.04498269886</v>
      </c>
      <c r="AE155" s="255">
        <f>L155*X151+M155*X152+N155*X153+O155*X154+P155*X155+Q155*X156</f>
        <v>-41814211.764705881</v>
      </c>
      <c r="AF155" s="193"/>
      <c r="AG155" s="257">
        <f t="shared" si="48"/>
        <v>-1.3189183501690945E-3</v>
      </c>
      <c r="AH155" s="257"/>
      <c r="AI155" s="257">
        <f>Z155*AG151+AA155*AG152+AB155*AG153+AC155*AG154+AD155*AG155+AE155*AG156</f>
        <v>1085.4222125196247</v>
      </c>
      <c r="AK155" s="296" t="s">
        <v>371</v>
      </c>
      <c r="AL155" s="293">
        <f>ABS((Z155*AG151+AA155*AG152+AB155*AG153+AC155*AG154+AD155*AG155+AE155*AG156)/((2*$B$7*$B$8)+($B$9*B21)))</f>
        <v>6.0301234028868045</v>
      </c>
      <c r="AM155" s="294" t="str">
        <f t="shared" si="49"/>
        <v>&lt;</v>
      </c>
      <c r="AN155" s="295">
        <f>$H$28</f>
        <v>960</v>
      </c>
      <c r="AO155" s="298" t="s">
        <v>374</v>
      </c>
      <c r="AP155" s="295">
        <f>((ABS((Z155*AG151+AA155*AG152+AB155*AG153+AC155*AG154+AD155*AG155+AE155*AG156)/((2*$B$7*$B$8)+($B$9*B21))))/$H$28)</f>
        <v>6.2813785446737547E-3</v>
      </c>
      <c r="AQ155" s="294" t="str">
        <f t="shared" si="50"/>
        <v>&lt;</v>
      </c>
      <c r="AR155" s="295">
        <v>1</v>
      </c>
      <c r="AX155">
        <f t="shared" si="51"/>
        <v>38</v>
      </c>
      <c r="AY155">
        <f>AX155*1000+AY150</f>
        <v>38034</v>
      </c>
      <c r="AZ155">
        <f>AX155*1000+AZ150</f>
        <v>38035</v>
      </c>
      <c r="BA155">
        <f>AX155*1000+BA150</f>
        <v>38036</v>
      </c>
      <c r="BB155">
        <f>AX155*1000+BB150</f>
        <v>38037</v>
      </c>
      <c r="BC155">
        <f>AX155*1000+BC150</f>
        <v>38038</v>
      </c>
      <c r="BD155">
        <f>AX155*1000+BD150</f>
        <v>38039</v>
      </c>
    </row>
    <row r="156" spans="1:56" ht="15.75" thickBot="1" x14ac:dyDescent="0.3">
      <c r="A156" s="261">
        <f>-J148*B149</f>
        <v>10141435.985754529</v>
      </c>
      <c r="B156" s="262">
        <f>J148*B148</f>
        <v>40565743.943018116</v>
      </c>
      <c r="C156" s="262">
        <f>H149</f>
        <v>1436703431.3152249</v>
      </c>
      <c r="D156" s="262">
        <f>J148*B149</f>
        <v>-10141435.985754529</v>
      </c>
      <c r="E156" s="262">
        <f>-J148*B148</f>
        <v>-40565743.943018116</v>
      </c>
      <c r="F156" s="263">
        <f>H148</f>
        <v>2873406862.6304498</v>
      </c>
      <c r="G156" s="262">
        <v>39</v>
      </c>
      <c r="H156" s="264"/>
      <c r="I156" s="264"/>
      <c r="J156" s="265"/>
      <c r="K156" s="193"/>
      <c r="L156" s="254">
        <v>0</v>
      </c>
      <c r="M156" s="254">
        <f>J148</f>
        <v>41814211.764705881</v>
      </c>
      <c r="N156" s="254">
        <f>H149</f>
        <v>1436703431.3152249</v>
      </c>
      <c r="O156" s="254">
        <v>0</v>
      </c>
      <c r="P156" s="254">
        <f>-J148</f>
        <v>-41814211.764705881</v>
      </c>
      <c r="Q156" s="255">
        <f>H148</f>
        <v>2873406862.6304498</v>
      </c>
      <c r="R156" s="193"/>
      <c r="S156" s="256">
        <v>0</v>
      </c>
      <c r="T156" s="254">
        <v>0</v>
      </c>
      <c r="U156" s="254">
        <v>0</v>
      </c>
      <c r="V156" s="254">
        <v>0</v>
      </c>
      <c r="W156" s="254">
        <v>0</v>
      </c>
      <c r="X156" s="255">
        <v>1</v>
      </c>
      <c r="Y156" s="193"/>
      <c r="Z156" s="254">
        <f>L156*S151+M156*S152+N156*S153+O156*S154+P156*S155+Q156*S156</f>
        <v>10141435.985754529</v>
      </c>
      <c r="AA156" s="254">
        <f>L156*T151+M156*T152+N156*T153+O156*T154+P156*T155+Q156*T156</f>
        <v>40565743.943018116</v>
      </c>
      <c r="AB156" s="254">
        <f>L156*U151+M156*U152+N156*U153+O156*U154+P156*U155+Q156*U156</f>
        <v>1436703431.3152249</v>
      </c>
      <c r="AC156" s="254">
        <f>L156*V151+M156*V152+N156*V153+O156*V154+P156*V155+Q156*V156</f>
        <v>-10141435.985754529</v>
      </c>
      <c r="AD156" s="254">
        <f>L156*W151+M156*W152+N156*W153+O156*W154+P156*W155+Q156*W156</f>
        <v>-40565743.943018116</v>
      </c>
      <c r="AE156" s="255">
        <f>L156*X151+M156*X152+N156*X153+O156*X154+P156*X155+Q156*X156</f>
        <v>2873406862.6304498</v>
      </c>
      <c r="AF156" s="193"/>
      <c r="AG156" s="257">
        <f t="shared" si="48"/>
        <v>-1.0503869168150982E-3</v>
      </c>
      <c r="AH156" s="257"/>
      <c r="AI156" s="257">
        <f>Z156*AG151+AA156*AG152+AB156*AG153+AC156*AG154+AD156*AG155+AE156*AG156</f>
        <v>-509875.82775710849</v>
      </c>
      <c r="AK156" s="296" t="s">
        <v>372</v>
      </c>
      <c r="AL156" s="293">
        <f>ABS((Z156*AG151+AA156*AG152+AB156*AG153+AC156*AG154+AD156*AG155+AE156*AG156)*($B$8+0.5*B21)/(2*((($B$7*($B$8)^3)/12)+($B$7*$B$8)*(B21+2*$B$8-0.5*$B$8-($B$8+0.5*B21))^2)+($B$9*(B21)^3)/12))</f>
        <v>245.827823932809</v>
      </c>
      <c r="AM156" s="294" t="str">
        <f t="shared" si="49"/>
        <v>&lt;</v>
      </c>
      <c r="AN156" s="295">
        <f>$J$28</f>
        <v>1440</v>
      </c>
      <c r="AO156" s="298" t="s">
        <v>373</v>
      </c>
      <c r="AP156" s="305">
        <f>((ABS((Z154*AG151+AA154*AG152+AB154*AG153+AC154*AG154+AD154*AG155+AE154*AG156)/((2*$B$7*$B$8)+($B$9*B21))))/$F$28)+((ABS((Z156*AG151+AA156*AG152+AB156*AG153+AC156*AG154+AD156*AG155+AE156*AG156)*($B$8+0.5*B21)/(2*((($B$7*($B$8)^3)/12)+($B$7*$B$8)*(B21+2*$B$8-0.5*$B$8-($B$8+0.5*B21))^2)+($B$9*(B21)^3)/12)))/$J$28)</f>
        <v>0.1768297985904938</v>
      </c>
      <c r="AQ156" s="294" t="str">
        <f t="shared" si="50"/>
        <v>&lt;</v>
      </c>
      <c r="AR156" s="295">
        <v>1</v>
      </c>
      <c r="AX156">
        <f t="shared" si="51"/>
        <v>39</v>
      </c>
      <c r="AY156">
        <f>AX156*1000+AY150</f>
        <v>39034</v>
      </c>
      <c r="AZ156">
        <f>AX156*1000+AZ150</f>
        <v>39035</v>
      </c>
      <c r="BA156">
        <f>AX156*1000+BA150</f>
        <v>39036</v>
      </c>
      <c r="BB156">
        <f>AX156*1000+BB150</f>
        <v>39037</v>
      </c>
      <c r="BC156">
        <f>AX156*1000+BC150</f>
        <v>39038</v>
      </c>
      <c r="BD156">
        <f>AX156*1000+BD150</f>
        <v>39039</v>
      </c>
    </row>
    <row r="157" spans="1:56" x14ac:dyDescent="0.25">
      <c r="A157" s="239" t="s">
        <v>279</v>
      </c>
      <c r="B157" s="240">
        <f>(D44-B44)/F44</f>
        <v>0</v>
      </c>
      <c r="C157" s="241" t="s">
        <v>280</v>
      </c>
      <c r="D157" s="240">
        <f>$B$8+0.5*B22</f>
        <v>32</v>
      </c>
      <c r="E157" s="241" t="s">
        <v>30</v>
      </c>
      <c r="F157" s="242">
        <f>2*((($B$7*($B$8)^3)/12)+($B$7*$B$8)*(B22+2*$B$8-0.5*$B$8-($B$8+0.5*B22))^2)+($B$9*(B22)^3)/12</f>
        <v>151360</v>
      </c>
      <c r="G157" s="241" t="s">
        <v>281</v>
      </c>
      <c r="H157" s="241">
        <f>4*$B$28*(2*((($B$7*($B$8)^3)/12)+($B$7*$B$8)*(B22+2*$B$8-0.5*$B$8-($B$8+0.5*B22))^2)+($B$9*(B22)^3)/12)/F44</f>
        <v>12714240000</v>
      </c>
      <c r="I157" s="241" t="s">
        <v>282</v>
      </c>
      <c r="J157" s="243">
        <f>6*$B$28*(2*((($B$7*($B$8)^3)/12)+($B$7*$B$8)*(B22+2*$B$8-0.5*$B$8-($B$8+0.5*B22))^2)+($B$9*(B22)^3)/12)/(F44^2)</f>
        <v>190713600</v>
      </c>
    </row>
    <row r="158" spans="1:56" x14ac:dyDescent="0.25">
      <c r="A158" s="244" t="s">
        <v>283</v>
      </c>
      <c r="B158" s="245">
        <f>(E44-C44)/F44</f>
        <v>-1</v>
      </c>
      <c r="C158" s="246" t="s">
        <v>13</v>
      </c>
      <c r="D158" s="247">
        <f>(2*$B$7*$B$8)+($B$9*B22)</f>
        <v>240</v>
      </c>
      <c r="E158" s="246" t="s">
        <v>284</v>
      </c>
      <c r="F158" s="246">
        <f>$B$28*((2*$B$7*$B$8)+($B$9*B22))/F44</f>
        <v>5040000</v>
      </c>
      <c r="G158" s="246" t="s">
        <v>285</v>
      </c>
      <c r="H158" s="246">
        <f>2*$B$28*(2*((($B$7*($B$8)^3)/12)+($B$7*$B$8)*(B22+2*$B$8-0.5*$B$8-($B$8+0.5*B22))^2)+($B$9*(B22)^3)/12)/F44</f>
        <v>6357120000</v>
      </c>
      <c r="I158" s="246" t="s">
        <v>286</v>
      </c>
      <c r="J158" s="248">
        <f>12*$B$28*(2*((($B$7*($B$8)^3)/12)+($B$7*$B$8)*(B22+2*$B$8-0.5*$B$8-($B$8+0.5*B22))^2)+($B$9*(B22)^3)/12)/(F44^3)</f>
        <v>3814272</v>
      </c>
    </row>
    <row r="159" spans="1:56" ht="15.75" thickBot="1" x14ac:dyDescent="0.3">
      <c r="A159" s="249">
        <f>G160</f>
        <v>37</v>
      </c>
      <c r="B159" s="245">
        <f>G161</f>
        <v>38</v>
      </c>
      <c r="C159" s="245">
        <f>G162</f>
        <v>39</v>
      </c>
      <c r="D159" s="245">
        <f>G163</f>
        <v>40</v>
      </c>
      <c r="E159" s="245">
        <f>G164</f>
        <v>41</v>
      </c>
      <c r="F159" s="245">
        <f>G165</f>
        <v>42</v>
      </c>
      <c r="G159" s="250"/>
      <c r="H159" s="246"/>
      <c r="I159" s="246"/>
      <c r="J159" s="251">
        <v>13</v>
      </c>
      <c r="AY159">
        <f>AX160</f>
        <v>37</v>
      </c>
      <c r="AZ159">
        <f>AX161</f>
        <v>38</v>
      </c>
      <c r="BA159">
        <f>AX162</f>
        <v>39</v>
      </c>
      <c r="BB159">
        <f>AX163</f>
        <v>40</v>
      </c>
      <c r="BC159">
        <f>AX164</f>
        <v>41</v>
      </c>
      <c r="BD159">
        <f>AX165</f>
        <v>42</v>
      </c>
    </row>
    <row r="160" spans="1:56" ht="15.75" thickBot="1" x14ac:dyDescent="0.3">
      <c r="A160" s="252">
        <f>(F158*B157^2+J158*B158^2)</f>
        <v>3814272</v>
      </c>
      <c r="B160" s="245">
        <f>(F158-J158)*B157*B158</f>
        <v>0</v>
      </c>
      <c r="C160" s="245">
        <f>-J157*B158</f>
        <v>190713600</v>
      </c>
      <c r="D160" s="245">
        <f>-(F158*B157^2+J158*B158^2)</f>
        <v>-3814272</v>
      </c>
      <c r="E160" s="245">
        <f>-(F158-J158)*B157*B158</f>
        <v>0</v>
      </c>
      <c r="F160" s="245">
        <f>-J157*B158</f>
        <v>190713600</v>
      </c>
      <c r="G160" s="245">
        <v>37</v>
      </c>
      <c r="H160" s="246"/>
      <c r="I160" s="250"/>
      <c r="J160" s="253"/>
      <c r="K160" s="193"/>
      <c r="L160" s="254">
        <f>F158</f>
        <v>5040000</v>
      </c>
      <c r="M160" s="254">
        <v>0</v>
      </c>
      <c r="N160" s="254">
        <v>0</v>
      </c>
      <c r="O160" s="254">
        <f>-F158</f>
        <v>-5040000</v>
      </c>
      <c r="P160" s="254">
        <v>0</v>
      </c>
      <c r="Q160" s="255">
        <v>0</v>
      </c>
      <c r="R160" s="193"/>
      <c r="S160" s="256">
        <f>B157</f>
        <v>0</v>
      </c>
      <c r="T160" s="254">
        <f>B158</f>
        <v>-1</v>
      </c>
      <c r="U160" s="254">
        <v>0</v>
      </c>
      <c r="V160" s="254">
        <v>0</v>
      </c>
      <c r="W160" s="254">
        <v>0</v>
      </c>
      <c r="X160" s="255">
        <v>0</v>
      </c>
      <c r="Y160" s="193"/>
      <c r="Z160" s="254">
        <f>L160*S160+M160*S161+N160*S162+O160*S163+P160*S164+Q160*S165</f>
        <v>0</v>
      </c>
      <c r="AA160" s="254">
        <f>L160*T160+M160*T161+N160*T162+O160*T163+P160*T164+Q160*T165</f>
        <v>-5040000</v>
      </c>
      <c r="AB160" s="254">
        <f>L160*U160+M160*U161+N160*U162+O160*U163+P160*U164+Q160*U165</f>
        <v>0</v>
      </c>
      <c r="AC160" s="254">
        <f>L160*V160+M160*V161+N160*V162+O160*V163+P160*V164+Q160*V165</f>
        <v>0</v>
      </c>
      <c r="AD160" s="254">
        <f>L160*W160+M160*W161+N160*W162+O160*W163+P160*W164+Q160*W165</f>
        <v>5040000</v>
      </c>
      <c r="AE160" s="255">
        <f>L160*X160+M160*X161+N160*X162+O160*X163+P160*X164+Q160*X165</f>
        <v>0</v>
      </c>
      <c r="AF160" s="193"/>
      <c r="AG160" s="257">
        <f>K22</f>
        <v>0.53530466148290456</v>
      </c>
      <c r="AH160" s="257"/>
      <c r="AI160" s="257">
        <f>Z160*AG160+AA160*AG161+AB160*AG162+AC160*AG163+AD160*AG164+AE160*AG165</f>
        <v>1437.5000000008113</v>
      </c>
      <c r="AK160" s="296" t="s">
        <v>367</v>
      </c>
      <c r="AL160" s="293">
        <f>ABS((Z160*AG160+AA160*AG161+AB160*AG162+AC160*AG163+AD160*AG164+AE160*AG165)/((2*$B$7*$B$8)+($B$9*B22)))</f>
        <v>5.9895833333367134</v>
      </c>
      <c r="AM160" s="294" t="str">
        <f t="shared" ref="AM160:AM165" si="52">IF(AL160&gt;AN160,"&gt;",IF(AL160&lt;AN160,"&lt;",))</f>
        <v>&lt;</v>
      </c>
      <c r="AN160" s="295">
        <f>$F$28</f>
        <v>1440</v>
      </c>
      <c r="AO160" s="298" t="s">
        <v>379</v>
      </c>
      <c r="AP160" s="295">
        <f>(ABS((Z160*AG160+AA160*AG161+AB160*AG162+AC160*AG163+AD160*AG164+AE160*AG165)/((2*$B$7*$B$8)+($B$9*B22))))/$F$28</f>
        <v>4.1594328703727177E-3</v>
      </c>
      <c r="AQ160" s="294" t="str">
        <f t="shared" ref="AQ160:AQ165" si="53">IF(AP160&gt;AR160,"&gt;",IF(AP160&lt;AR160,"&lt;",))</f>
        <v>&lt;</v>
      </c>
      <c r="AR160" s="295">
        <v>0.15</v>
      </c>
      <c r="AX160">
        <f t="shared" ref="AX160:AX165" si="54">G160</f>
        <v>37</v>
      </c>
      <c r="AY160">
        <f>AX160*1000+AY159</f>
        <v>37037</v>
      </c>
      <c r="AZ160">
        <f>AX160*1000+AZ159</f>
        <v>37038</v>
      </c>
      <c r="BA160">
        <f>AX160*1000+BA159</f>
        <v>37039</v>
      </c>
      <c r="BB160">
        <f>AX160*1000+BB159</f>
        <v>37040</v>
      </c>
      <c r="BC160">
        <f>AX160*1000+BC159</f>
        <v>37041</v>
      </c>
      <c r="BD160">
        <f>AX160*1000+BD159</f>
        <v>37042</v>
      </c>
    </row>
    <row r="161" spans="1:56" ht="15.75" thickBot="1" x14ac:dyDescent="0.3">
      <c r="A161" s="249">
        <f>(F158-J158)*B157*B158</f>
        <v>0</v>
      </c>
      <c r="B161" s="258">
        <f>(F158*B158^2+J158*B157^2)</f>
        <v>5040000</v>
      </c>
      <c r="C161" s="245">
        <f>J157*B157</f>
        <v>0</v>
      </c>
      <c r="D161" s="245">
        <f>-(F158-J158)*B157*B158</f>
        <v>0</v>
      </c>
      <c r="E161" s="245">
        <f>-(F158*B158^2+J158*B157^2)</f>
        <v>-5040000</v>
      </c>
      <c r="F161" s="245">
        <f>J157*B157</f>
        <v>0</v>
      </c>
      <c r="G161" s="245">
        <v>38</v>
      </c>
      <c r="H161" s="246"/>
      <c r="I161" s="246"/>
      <c r="J161" s="253"/>
      <c r="K161" s="193"/>
      <c r="L161" s="254">
        <v>0</v>
      </c>
      <c r="M161" s="254">
        <f>J158</f>
        <v>3814272</v>
      </c>
      <c r="N161" s="254">
        <f>J157</f>
        <v>190713600</v>
      </c>
      <c r="O161" s="254">
        <v>0</v>
      </c>
      <c r="P161" s="254">
        <f>-J158</f>
        <v>-3814272</v>
      </c>
      <c r="Q161" s="255">
        <f>J157</f>
        <v>190713600</v>
      </c>
      <c r="R161" s="193"/>
      <c r="S161" s="256">
        <f>-B158</f>
        <v>1</v>
      </c>
      <c r="T161" s="254">
        <f>B157</f>
        <v>0</v>
      </c>
      <c r="U161" s="254">
        <v>0</v>
      </c>
      <c r="V161" s="254">
        <v>0</v>
      </c>
      <c r="W161" s="254">
        <v>0</v>
      </c>
      <c r="X161" s="255">
        <v>0</v>
      </c>
      <c r="Y161" s="193"/>
      <c r="Z161" s="254">
        <f>L161*S160+M161*S161+N161*S162+O161*S163+P161*S164+Q161*S165</f>
        <v>3814272</v>
      </c>
      <c r="AA161" s="254">
        <f>L161*T160+M161*T161+N161*T162+O161*T163+P161*T164+Q161*T165</f>
        <v>0</v>
      </c>
      <c r="AB161" s="254">
        <f>L161*U160+M161*U161+N161*U162+O161*U163+P161*U164+Q161*U165</f>
        <v>190713600</v>
      </c>
      <c r="AC161" s="254">
        <f>L161*V160+M161*V161+N161*V162+O161*V163+P161*V164+Q161*V165</f>
        <v>-3814272</v>
      </c>
      <c r="AD161" s="254">
        <f>L161*W160+M161*W161+N161*W162+O161*W163+P161*W164+Q161*W165</f>
        <v>0</v>
      </c>
      <c r="AE161" s="255">
        <f>L161*X160+M161*X161+N161*X162+O161*X163+P161*X164+Q161*X165</f>
        <v>190713600</v>
      </c>
      <c r="AF161" s="193"/>
      <c r="AG161" s="257">
        <f>K23</f>
        <v>-1.3189183501690945E-3</v>
      </c>
      <c r="AH161" s="257"/>
      <c r="AI161" s="257">
        <f>Z161*AG160+AA161*AG161+AB161*AG162+AC161*AG163+AD161*AG164+AE161*AG165</f>
        <v>1274.6895693931729</v>
      </c>
      <c r="AK161" s="296" t="s">
        <v>368</v>
      </c>
      <c r="AL161" s="293">
        <f>ABS((Z161*AG160+AA161*AG161+AB161*AG162+AC161*AG163+AD161*AG164+AE161*AG165)/((2*$B$7*$B$8)+($B$9*B22)))</f>
        <v>5.3112065391382206</v>
      </c>
      <c r="AM161" s="294" t="str">
        <f t="shared" si="52"/>
        <v>&lt;</v>
      </c>
      <c r="AN161" s="295">
        <f>$H$28</f>
        <v>960</v>
      </c>
      <c r="AO161" s="298" t="s">
        <v>374</v>
      </c>
      <c r="AP161" s="295">
        <f>((ABS((Z161*AG160+AA161*AG161+AB161*AG162+AC161*AG163+AD161*AG164+AE161*AG165)/((2*$B$7*$B$8)+($B$9*B22))))/$H$28)</f>
        <v>5.5325068116023135E-3</v>
      </c>
      <c r="AQ161" s="294" t="str">
        <f t="shared" si="53"/>
        <v>&lt;</v>
      </c>
      <c r="AR161" s="295">
        <v>1</v>
      </c>
      <c r="AX161">
        <f t="shared" si="54"/>
        <v>38</v>
      </c>
      <c r="AY161">
        <f>AX161*1000+AY159</f>
        <v>38037</v>
      </c>
      <c r="AZ161">
        <f>AX161*1000+AZ159</f>
        <v>38038</v>
      </c>
      <c r="BA161">
        <f>AX161*1000+BA159</f>
        <v>38039</v>
      </c>
      <c r="BB161">
        <f>AX161*1000+BB159</f>
        <v>38040</v>
      </c>
      <c r="BC161">
        <f>AX161*1000+BC159</f>
        <v>38041</v>
      </c>
      <c r="BD161">
        <f>AX161*1000+BD159</f>
        <v>38042</v>
      </c>
    </row>
    <row r="162" spans="1:56" ht="15.75" thickBot="1" x14ac:dyDescent="0.3">
      <c r="A162" s="249">
        <f>-J157*B158</f>
        <v>190713600</v>
      </c>
      <c r="B162" s="245">
        <f>J157*B157</f>
        <v>0</v>
      </c>
      <c r="C162" s="258">
        <f>H157</f>
        <v>12714240000</v>
      </c>
      <c r="D162" s="245">
        <f>J157*B158</f>
        <v>-190713600</v>
      </c>
      <c r="E162" s="245">
        <f>-J157*B157</f>
        <v>0</v>
      </c>
      <c r="F162" s="245">
        <f>H158</f>
        <v>6357120000</v>
      </c>
      <c r="G162" s="245">
        <v>39</v>
      </c>
      <c r="H162" s="246"/>
      <c r="I162" s="246"/>
      <c r="J162" s="253"/>
      <c r="K162" s="193"/>
      <c r="L162" s="254">
        <v>0</v>
      </c>
      <c r="M162" s="254">
        <f>J157</f>
        <v>190713600</v>
      </c>
      <c r="N162" s="254">
        <f>H157</f>
        <v>12714240000</v>
      </c>
      <c r="O162" s="254">
        <v>0</v>
      </c>
      <c r="P162" s="254">
        <f>-J157</f>
        <v>-190713600</v>
      </c>
      <c r="Q162" s="255">
        <f>H158</f>
        <v>6357120000</v>
      </c>
      <c r="R162" s="193"/>
      <c r="S162" s="256">
        <v>0</v>
      </c>
      <c r="T162" s="254">
        <v>0</v>
      </c>
      <c r="U162" s="254">
        <v>1</v>
      </c>
      <c r="V162" s="254">
        <v>0</v>
      </c>
      <c r="W162" s="254">
        <v>0</v>
      </c>
      <c r="X162" s="255">
        <v>0</v>
      </c>
      <c r="Y162" s="193"/>
      <c r="Z162" s="254">
        <f>L162*S160+M162*S161+N162*S162+O162*S163+P162*S164+Q162*S165</f>
        <v>190713600</v>
      </c>
      <c r="AA162" s="254">
        <f>L162*T160+M162*T161+N162*T162+O162*T163+P162*T164+Q162*T165</f>
        <v>0</v>
      </c>
      <c r="AB162" s="254">
        <f>L162*U160+M162*U161+N162*U162+O162*U163+P162*U164+Q162*U165</f>
        <v>12714240000</v>
      </c>
      <c r="AC162" s="254">
        <f>L162*V160+M162*V161+N162*V162+O162*V163+P162*V164+Q162*V165</f>
        <v>-190713600</v>
      </c>
      <c r="AD162" s="254">
        <f>L162*W160+M162*W161+N162*W162+O162*W163+P162*W164+Q162*W165</f>
        <v>0</v>
      </c>
      <c r="AE162" s="255">
        <f>L162*X160+M162*X161+N162*X162+O162*X163+P162*X164+Q162*X165</f>
        <v>6357120000</v>
      </c>
      <c r="AF162" s="193"/>
      <c r="AG162" s="257">
        <f>K24</f>
        <v>-1.0503869168150982E-3</v>
      </c>
      <c r="AH162" s="257"/>
      <c r="AI162" s="257">
        <f>Z162*AG160+AA162*AG161+AB162*AG162+AC162*AG163+AD162*AG164+AE162*AG165</f>
        <v>509875.82775712758</v>
      </c>
      <c r="AK162" s="296" t="s">
        <v>369</v>
      </c>
      <c r="AL162" s="293">
        <f>ABS((Z162*AG160+AA162*AG161+AB162*AG162+AC162*AG163+AD162*AG164+AE162*AG165)*($B$8+0.5*B22)/(2*((($B$7*($B$8)^3)/12)+($B$7*$B$8)*(B22+2*$B$8-0.5*$B$8-($B$8+0.5*B22))^2)+($B$9*(B22)^3)/12))</f>
        <v>107.79615808818765</v>
      </c>
      <c r="AM162" s="294" t="str">
        <f t="shared" si="52"/>
        <v>&lt;</v>
      </c>
      <c r="AN162" s="295">
        <f>$J$28</f>
        <v>1440</v>
      </c>
      <c r="AO162" s="298" t="s">
        <v>373</v>
      </c>
      <c r="AP162" s="305">
        <f>((ABS((Z160*AG160+AA160*AG161+AB160*AG162+AC160*AG163+AD160*AG164+AE160*AG165)/((2*$B$7*$B$8)+($B$9*B22))))/$F$28)+((ABS((Z162*AG160+AA162*AG161+AB162*AG162+AC162*AG163+AD162*AG164+AE162*AG165)*($B$8+0.5*B22)/(2*((($B$7*($B$8)^3)/12)+($B$7*$B$8)*(B22+2*$B$8-0.5*$B$8-($B$8+0.5*B22))^2)+($B$9*(B22)^3)/12)))/$J$28)</f>
        <v>7.9017875987169708E-2</v>
      </c>
      <c r="AQ162" s="294" t="str">
        <f t="shared" si="53"/>
        <v>&lt;</v>
      </c>
      <c r="AR162" s="295">
        <v>1</v>
      </c>
      <c r="AX162">
        <f t="shared" si="54"/>
        <v>39</v>
      </c>
      <c r="AY162">
        <f>AX162*1000+AY159</f>
        <v>39037</v>
      </c>
      <c r="AZ162">
        <f>AX162*1000+AZ159</f>
        <v>39038</v>
      </c>
      <c r="BA162">
        <f>AX162*1000+BA159</f>
        <v>39039</v>
      </c>
      <c r="BB162">
        <f>AX162*1000+BB159</f>
        <v>39040</v>
      </c>
      <c r="BC162">
        <f>AX162*1000+BC159</f>
        <v>39041</v>
      </c>
      <c r="BD162">
        <f>AX162*1000+BD159</f>
        <v>39042</v>
      </c>
    </row>
    <row r="163" spans="1:56" ht="16.5" thickBot="1" x14ac:dyDescent="0.3">
      <c r="A163" s="249">
        <f>-(F158*B157^2+J158*B158^2)</f>
        <v>-3814272</v>
      </c>
      <c r="B163" s="245">
        <f>-(F158-J158)*B157*B158</f>
        <v>0</v>
      </c>
      <c r="C163" s="245">
        <f>J157*B158</f>
        <v>-190713600</v>
      </c>
      <c r="D163" s="258">
        <f>(F158*B157^2+J158*B158^2)</f>
        <v>3814272</v>
      </c>
      <c r="E163" s="245">
        <f>(F158-J158)*B157*B158</f>
        <v>0</v>
      </c>
      <c r="F163" s="245">
        <f>J157*B158</f>
        <v>-190713600</v>
      </c>
      <c r="G163" s="245">
        <v>40</v>
      </c>
      <c r="H163" s="246"/>
      <c r="I163" s="246"/>
      <c r="J163" s="253"/>
      <c r="K163" s="193"/>
      <c r="L163" s="254">
        <f>-F158</f>
        <v>-5040000</v>
      </c>
      <c r="M163" s="254">
        <v>0</v>
      </c>
      <c r="N163" s="254">
        <v>0</v>
      </c>
      <c r="O163" s="254">
        <f>F158</f>
        <v>5040000</v>
      </c>
      <c r="P163" s="254">
        <v>0</v>
      </c>
      <c r="Q163" s="255">
        <v>0</v>
      </c>
      <c r="R163" s="259" t="s">
        <v>287</v>
      </c>
      <c r="S163" s="256">
        <v>0</v>
      </c>
      <c r="T163" s="254">
        <v>0</v>
      </c>
      <c r="U163" s="254">
        <v>0</v>
      </c>
      <c r="V163" s="254">
        <f>B157</f>
        <v>0</v>
      </c>
      <c r="W163" s="254">
        <f>B158</f>
        <v>-1</v>
      </c>
      <c r="X163" s="255">
        <v>0</v>
      </c>
      <c r="Y163" s="260" t="s">
        <v>127</v>
      </c>
      <c r="Z163" s="254">
        <f>L163*S160+M163*S161+N163*S162+O163*S163+P163*S164+Q163*S165</f>
        <v>0</v>
      </c>
      <c r="AA163" s="254">
        <f>L163*T160+M163*T161+N163*T162+O163*T163+P163*T164+Q163*T165</f>
        <v>5040000</v>
      </c>
      <c r="AB163" s="254">
        <f>L163*U160+M163*U161+N163*U162+O163*U163+P163*U164+Q163*U165</f>
        <v>0</v>
      </c>
      <c r="AC163" s="254">
        <f>L163*V160+M163*V161+N163*V162+O163*V163+P163*V164+Q163*V165</f>
        <v>0</v>
      </c>
      <c r="AD163" s="254">
        <f>L163*W160+M163*W161+N163*W162+O163*W163+P163*W164+Q163*W165</f>
        <v>-5040000</v>
      </c>
      <c r="AE163" s="255">
        <f>L163*X160+M163*X161+N163*X162+O163*X163+P163*X164+Q163*X165</f>
        <v>0</v>
      </c>
      <c r="AF163" s="259" t="s">
        <v>287</v>
      </c>
      <c r="AG163" s="257">
        <f>K25</f>
        <v>0.42291380128099526</v>
      </c>
      <c r="AH163" s="259" t="s">
        <v>127</v>
      </c>
      <c r="AI163" s="257">
        <f>Z163*AG160+AA163*AG161+AB163*AG162+AC163*AG163+AD163*AG164+AE163*AG165</f>
        <v>-1437.5000000008113</v>
      </c>
      <c r="AK163" s="296" t="s">
        <v>370</v>
      </c>
      <c r="AL163" s="293">
        <f>ABS((Z163*AG160+AA163*AG161+AB163*AG162+AC163*AG163+AD163*AG164+AE163*AG165)/((2*$B$7*$B$8)+($B$9*B22)))</f>
        <v>5.9895833333367134</v>
      </c>
      <c r="AM163" s="294" t="str">
        <f t="shared" si="52"/>
        <v>&lt;</v>
      </c>
      <c r="AN163" s="295">
        <f>$F$28</f>
        <v>1440</v>
      </c>
      <c r="AO163" s="298" t="s">
        <v>378</v>
      </c>
      <c r="AP163" s="295">
        <f>(B22)/$B$9</f>
        <v>30</v>
      </c>
      <c r="AQ163" s="294" t="str">
        <f t="shared" si="53"/>
        <v>&lt;</v>
      </c>
      <c r="AR163" s="295">
        <f>6370/($J$28)^0.5</f>
        <v>167.86423912727147</v>
      </c>
      <c r="AX163">
        <f t="shared" si="54"/>
        <v>40</v>
      </c>
      <c r="AY163">
        <f>AX163*1000+AY159</f>
        <v>40037</v>
      </c>
      <c r="AZ163">
        <f>AX163*1000+AZ159</f>
        <v>40038</v>
      </c>
      <c r="BA163">
        <f>AX163*1000+BA159</f>
        <v>40039</v>
      </c>
      <c r="BB163">
        <f>AX163*1000+BB159</f>
        <v>40040</v>
      </c>
      <c r="BC163">
        <f>AX163*1000+BC159</f>
        <v>40041</v>
      </c>
      <c r="BD163">
        <f>AX163*1000+BD159</f>
        <v>40042</v>
      </c>
    </row>
    <row r="164" spans="1:56" ht="15.75" thickBot="1" x14ac:dyDescent="0.3">
      <c r="A164" s="249">
        <f>-(F158-J158)*B157*B158</f>
        <v>0</v>
      </c>
      <c r="B164" s="245">
        <f>-(F158*B158^2+J158*B157^2)</f>
        <v>-5040000</v>
      </c>
      <c r="C164" s="245">
        <f>-J157*B157</f>
        <v>0</v>
      </c>
      <c r="D164" s="245">
        <f>(F158-J158)*B157*B158</f>
        <v>0</v>
      </c>
      <c r="E164" s="258">
        <f>(F158*B158^2+J158*B157^2)</f>
        <v>5040000</v>
      </c>
      <c r="F164" s="245">
        <f>-J157*B157</f>
        <v>0</v>
      </c>
      <c r="G164" s="245">
        <v>41</v>
      </c>
      <c r="H164" s="246"/>
      <c r="I164" s="246"/>
      <c r="J164" s="253"/>
      <c r="K164" s="193"/>
      <c r="L164" s="254">
        <v>0</v>
      </c>
      <c r="M164" s="254">
        <f>-J158</f>
        <v>-3814272</v>
      </c>
      <c r="N164" s="254">
        <f>-J157</f>
        <v>-190713600</v>
      </c>
      <c r="O164" s="254">
        <v>0</v>
      </c>
      <c r="P164" s="254">
        <f>J158</f>
        <v>3814272</v>
      </c>
      <c r="Q164" s="255">
        <f>-J157</f>
        <v>-190713600</v>
      </c>
      <c r="R164" s="193"/>
      <c r="S164" s="256">
        <v>0</v>
      </c>
      <c r="T164" s="254">
        <v>0</v>
      </c>
      <c r="U164" s="254">
        <v>0</v>
      </c>
      <c r="V164" s="254">
        <f>-B158</f>
        <v>1</v>
      </c>
      <c r="W164" s="254">
        <f>B157</f>
        <v>0</v>
      </c>
      <c r="X164" s="255">
        <v>0</v>
      </c>
      <c r="Y164" s="193"/>
      <c r="Z164" s="254">
        <f>L164*S160+M164*S161+N164*S162+O164*S163+P164*S164+Q164*S165</f>
        <v>-3814272</v>
      </c>
      <c r="AA164" s="254">
        <f>L164*T160+M164*T161+N164*T162+O164*T163+P164*T164+Q164*T165</f>
        <v>0</v>
      </c>
      <c r="AB164" s="254">
        <f>L164*U160+M164*U161+N164*U162+O164*U163+P164*U164+Q164*U165</f>
        <v>-190713600</v>
      </c>
      <c r="AC164" s="254">
        <f>L164*V160+M164*V161+N164*V162+O164*V163+P164*V164+Q164*V165</f>
        <v>3814272</v>
      </c>
      <c r="AD164" s="254">
        <f>L164*W160+M164*W161+N164*W162+O164*W163+P164*W164+Q164*W165</f>
        <v>0</v>
      </c>
      <c r="AE164" s="255">
        <f>L164*X160+M164*X161+N164*X162+O164*X163+P164*X164+Q164*X165</f>
        <v>-190713600</v>
      </c>
      <c r="AF164" s="193"/>
      <c r="AG164" s="257">
        <f>O7</f>
        <v>-1.0337000962006796E-3</v>
      </c>
      <c r="AH164" s="257"/>
      <c r="AI164" s="257">
        <f>Z164*AG160+AA164*AG161+AB164*AG162+AC164*AG163+AD164*AG164+AE164*AG165</f>
        <v>-1274.6895693931729</v>
      </c>
      <c r="AK164" s="296" t="s">
        <v>371</v>
      </c>
      <c r="AL164" s="293">
        <f>ABS((Z164*AG160+AA164*AG161+AB164*AG162+AC164*AG163+AD164*AG164+AE164*AG165)/((2*$B$7*$B$8)+($B$9*B22)))</f>
        <v>5.3112065391382206</v>
      </c>
      <c r="AM164" s="294" t="str">
        <f t="shared" si="52"/>
        <v>&lt;</v>
      </c>
      <c r="AN164" s="295">
        <f>$H$28</f>
        <v>960</v>
      </c>
      <c r="AO164" s="298" t="s">
        <v>374</v>
      </c>
      <c r="AP164" s="295">
        <f>((ABS((Z164*AG160+AA164*AG161+AB164*AG162+AC164*AG163+AD164*AG164+AE164*AG165)/((2*$B$7*$B$8)+($B$9*B22))))/$H$28)</f>
        <v>5.5325068116023135E-3</v>
      </c>
      <c r="AQ164" s="294" t="str">
        <f t="shared" si="53"/>
        <v>&lt;</v>
      </c>
      <c r="AR164" s="295">
        <v>1</v>
      </c>
      <c r="AX164">
        <f t="shared" si="54"/>
        <v>41</v>
      </c>
      <c r="AY164">
        <f>AX164*1000+AY159</f>
        <v>41037</v>
      </c>
      <c r="AZ164">
        <f>AX164*1000+AZ159</f>
        <v>41038</v>
      </c>
      <c r="BA164">
        <f>AX164*1000+BA159</f>
        <v>41039</v>
      </c>
      <c r="BB164">
        <f>AX164*1000+BB159</f>
        <v>41040</v>
      </c>
      <c r="BC164">
        <f>AX164*1000+BC159</f>
        <v>41041</v>
      </c>
      <c r="BD164">
        <f>AX164*1000+BD159</f>
        <v>41042</v>
      </c>
    </row>
    <row r="165" spans="1:56" ht="15.75" thickBot="1" x14ac:dyDescent="0.3">
      <c r="A165" s="261">
        <f>-J157*B158</f>
        <v>190713600</v>
      </c>
      <c r="B165" s="262">
        <f>J157*B157</f>
        <v>0</v>
      </c>
      <c r="C165" s="262">
        <f>H158</f>
        <v>6357120000</v>
      </c>
      <c r="D165" s="262">
        <f>J157*B158</f>
        <v>-190713600</v>
      </c>
      <c r="E165" s="262">
        <f>-J157*B157</f>
        <v>0</v>
      </c>
      <c r="F165" s="263">
        <f>H157</f>
        <v>12714240000</v>
      </c>
      <c r="G165" s="262">
        <v>42</v>
      </c>
      <c r="H165" s="264"/>
      <c r="I165" s="264"/>
      <c r="J165" s="265"/>
      <c r="K165" s="193"/>
      <c r="L165" s="254">
        <v>0</v>
      </c>
      <c r="M165" s="254">
        <f>J157</f>
        <v>190713600</v>
      </c>
      <c r="N165" s="254">
        <f>H158</f>
        <v>6357120000</v>
      </c>
      <c r="O165" s="254">
        <v>0</v>
      </c>
      <c r="P165" s="254">
        <f>-J157</f>
        <v>-190713600</v>
      </c>
      <c r="Q165" s="255">
        <f>H157</f>
        <v>12714240000</v>
      </c>
      <c r="R165" s="193"/>
      <c r="S165" s="256">
        <v>0</v>
      </c>
      <c r="T165" s="254">
        <v>0</v>
      </c>
      <c r="U165" s="254">
        <v>0</v>
      </c>
      <c r="V165" s="254">
        <v>0</v>
      </c>
      <c r="W165" s="254">
        <v>0</v>
      </c>
      <c r="X165" s="255">
        <v>1</v>
      </c>
      <c r="Y165" s="193"/>
      <c r="Z165" s="254">
        <f>L165*S160+M165*S161+N165*S162+O165*S163+P165*S164+Q165*S165</f>
        <v>190713600</v>
      </c>
      <c r="AA165" s="254">
        <f>L165*T160+M165*T161+N165*T162+O165*T163+P165*T164+Q165*T165</f>
        <v>0</v>
      </c>
      <c r="AB165" s="254">
        <f>L165*U160+M165*U161+N165*U162+O165*U163+P165*U164+Q165*U165</f>
        <v>6357120000</v>
      </c>
      <c r="AC165" s="254">
        <f>L165*V160+M165*V161+N165*V162+O165*V163+P165*V164+Q165*V165</f>
        <v>-190713600</v>
      </c>
      <c r="AD165" s="254">
        <f>L165*W160+M165*W161+N165*W162+O165*W163+P165*W164+Q165*W165</f>
        <v>0</v>
      </c>
      <c r="AE165" s="255">
        <f>L165*X160+M165*X161+N165*X162+O165*X163+P165*X164+Q165*X165</f>
        <v>12714240000</v>
      </c>
      <c r="AF165" s="193"/>
      <c r="AG165" s="257">
        <f>O8</f>
        <v>-1.190746497659087E-3</v>
      </c>
      <c r="AH165" s="257"/>
      <c r="AI165" s="257">
        <f>Z165*AG160+AA165*AG161+AB165*AG162+AC165*AG163+AD165*AG164+AE165*AG165</f>
        <v>-382406.8708178103</v>
      </c>
      <c r="AK165" s="296" t="s">
        <v>372</v>
      </c>
      <c r="AL165" s="293">
        <f>ABS((Z165*AG160+AA165*AG161+AB165*AG162+AC165*AG163+AD165*AG164+AE165*AG165)*($B$8+0.5*B22)/(2*((($B$7*($B$8)^3)/12)+($B$7*$B$8)*(B22+2*$B$8-0.5*$B$8-($B$8+0.5*B22))^2)+($B$9*(B22)^3)/12))</f>
        <v>80.847118566133261</v>
      </c>
      <c r="AM165" s="294" t="str">
        <f t="shared" si="52"/>
        <v>&lt;</v>
      </c>
      <c r="AN165" s="295">
        <f>$J$28</f>
        <v>1440</v>
      </c>
      <c r="AO165" s="298" t="s">
        <v>373</v>
      </c>
      <c r="AP165" s="305">
        <f>((ABS((Z163*AG160+AA163*AG161+AB163*AG162+AC163*AG163+AD163*AG164+AE163*AG165)/((2*$B$7*$B$8)+($B$9*B22))))/$F$28)+((ABS((Z165*AG160+AA165*AG161+AB165*AG162+AC165*AG163+AD165*AG164+AE165*AG165)*($B$8+0.5*B22)/(2*((($B$7*($B$8)^3)/12)+($B$7*$B$8)*(B22+2*$B$8-0.5*$B$8-($B$8+0.5*B22))^2)+($B$9*(B22)^3)/12)))/$J$28)</f>
        <v>6.0303265207965258E-2</v>
      </c>
      <c r="AQ165" s="294" t="str">
        <f t="shared" si="53"/>
        <v>&lt;</v>
      </c>
      <c r="AR165" s="295">
        <v>1</v>
      </c>
      <c r="AX165">
        <f t="shared" si="54"/>
        <v>42</v>
      </c>
      <c r="AY165">
        <f>AX165*1000+AY159</f>
        <v>42037</v>
      </c>
      <c r="AZ165">
        <f>AX165*1000+AZ159</f>
        <v>42038</v>
      </c>
      <c r="BA165">
        <f>AX165*1000+BA159</f>
        <v>42039</v>
      </c>
      <c r="BB165">
        <f>AX165*1000+BB159</f>
        <v>42040</v>
      </c>
      <c r="BC165">
        <f>AX165*1000+BC159</f>
        <v>42041</v>
      </c>
      <c r="BD165">
        <f>AX165*1000+BD159</f>
        <v>42042</v>
      </c>
    </row>
    <row r="166" spans="1:56" x14ac:dyDescent="0.25">
      <c r="A166" s="239" t="s">
        <v>279</v>
      </c>
      <c r="B166" s="240">
        <f>(D45-B45)/F45</f>
        <v>0</v>
      </c>
      <c r="C166" s="241" t="s">
        <v>280</v>
      </c>
      <c r="D166" s="240">
        <f>$B$8+0.5*B23</f>
        <v>27</v>
      </c>
      <c r="E166" s="241" t="s">
        <v>30</v>
      </c>
      <c r="F166" s="242">
        <f>2*((($B$7*($B$8)^3)/12)+($B$7*$B$8)*(B23+2*$B$8-0.5*$B$8-($B$8+0.5*B23))^2)+($B$9*(B23)^3)/12</f>
        <v>101993.33333333333</v>
      </c>
      <c r="G166" s="241" t="s">
        <v>281</v>
      </c>
      <c r="H166" s="241">
        <f>4*$B$28*(2*((($B$7*($B$8)^3)/12)+($B$7*$B$8)*(B23+2*$B$8-0.5*$B$8-($B$8+0.5*B23))^2)+($B$9*(B23)^3)/12)/F45</f>
        <v>8567440000</v>
      </c>
      <c r="I166" s="241" t="s">
        <v>282</v>
      </c>
      <c r="J166" s="243">
        <f>6*$B$28*(2*((($B$7*($B$8)^3)/12)+($B$7*$B$8)*(B23+2*$B$8-0.5*$B$8-($B$8+0.5*B23))^2)+($B$9*(B23)^3)/12)/(F45^2)</f>
        <v>128511600</v>
      </c>
    </row>
    <row r="167" spans="1:56" x14ac:dyDescent="0.25">
      <c r="A167" s="244" t="s">
        <v>283</v>
      </c>
      <c r="B167" s="245">
        <f>(E45-C45)/F45</f>
        <v>-1</v>
      </c>
      <c r="C167" s="246" t="s">
        <v>13</v>
      </c>
      <c r="D167" s="247">
        <f>(2*$B$7*$B$8)+($B$9*B23)</f>
        <v>220</v>
      </c>
      <c r="E167" s="246" t="s">
        <v>284</v>
      </c>
      <c r="F167" s="246">
        <f>$B$28*((2*$B$7*$B$8)+($B$9*B23))/F45</f>
        <v>4620000</v>
      </c>
      <c r="G167" s="246" t="s">
        <v>285</v>
      </c>
      <c r="H167" s="246">
        <f>2*$B$28*(2*((($B$7*($B$8)^3)/12)+($B$7*$B$8)*(B23+2*$B$8-0.5*$B$8-($B$8+0.5*B23))^2)+($B$9*(B23)^3)/12)/F45</f>
        <v>4283720000</v>
      </c>
      <c r="I167" s="246" t="s">
        <v>286</v>
      </c>
      <c r="J167" s="248">
        <f>12*$B$28*(2*((($B$7*($B$8)^3)/12)+($B$7*$B$8)*(B23+2*$B$8-0.5*$B$8-($B$8+0.5*B23))^2)+($B$9*(B23)^3)/12)/(F45^3)</f>
        <v>2570232</v>
      </c>
    </row>
    <row r="168" spans="1:56" ht="15.75" thickBot="1" x14ac:dyDescent="0.3">
      <c r="A168" s="249">
        <f>G169</f>
        <v>40</v>
      </c>
      <c r="B168" s="245">
        <f>G170</f>
        <v>41</v>
      </c>
      <c r="C168" s="245">
        <f>G171</f>
        <v>42</v>
      </c>
      <c r="D168" s="245">
        <f>G172</f>
        <v>43</v>
      </c>
      <c r="E168" s="245">
        <f>G173</f>
        <v>44</v>
      </c>
      <c r="F168" s="245">
        <f>G174</f>
        <v>45</v>
      </c>
      <c r="G168" s="250"/>
      <c r="H168" s="246"/>
      <c r="I168" s="246"/>
      <c r="J168" s="251">
        <v>14</v>
      </c>
      <c r="AY168">
        <f>AX169</f>
        <v>40</v>
      </c>
      <c r="AZ168">
        <f>AX170</f>
        <v>41</v>
      </c>
      <c r="BA168">
        <f>AX171</f>
        <v>42</v>
      </c>
      <c r="BB168">
        <f>AX172</f>
        <v>43</v>
      </c>
      <c r="BC168">
        <f>AX173</f>
        <v>44</v>
      </c>
      <c r="BD168">
        <f>AX174</f>
        <v>45</v>
      </c>
    </row>
    <row r="169" spans="1:56" ht="15.75" thickBot="1" x14ac:dyDescent="0.3">
      <c r="A169" s="252">
        <f>(F167*B166^2+J167*B167^2)</f>
        <v>2570232</v>
      </c>
      <c r="B169" s="245">
        <f>(F167-J167)*B166*B167</f>
        <v>0</v>
      </c>
      <c r="C169" s="245">
        <f>-J166*B167</f>
        <v>128511600</v>
      </c>
      <c r="D169" s="245">
        <f>-(F167*B166^2+J167*B167^2)</f>
        <v>-2570232</v>
      </c>
      <c r="E169" s="245">
        <f>-(F167-J167)*B166*B167</f>
        <v>0</v>
      </c>
      <c r="F169" s="245">
        <f>-J166*B167</f>
        <v>128511600</v>
      </c>
      <c r="G169" s="245">
        <v>40</v>
      </c>
      <c r="H169" s="246"/>
      <c r="I169" s="250"/>
      <c r="J169" s="253"/>
      <c r="K169" s="193"/>
      <c r="L169" s="254">
        <f>F167</f>
        <v>4620000</v>
      </c>
      <c r="M169" s="254">
        <v>0</v>
      </c>
      <c r="N169" s="254">
        <v>0</v>
      </c>
      <c r="O169" s="254">
        <f>-F167</f>
        <v>-4620000</v>
      </c>
      <c r="P169" s="254">
        <v>0</v>
      </c>
      <c r="Q169" s="255">
        <v>0</v>
      </c>
      <c r="R169" s="193"/>
      <c r="S169" s="256">
        <f>B166</f>
        <v>0</v>
      </c>
      <c r="T169" s="254">
        <f>B167</f>
        <v>-1</v>
      </c>
      <c r="U169" s="254">
        <v>0</v>
      </c>
      <c r="V169" s="254">
        <v>0</v>
      </c>
      <c r="W169" s="254">
        <v>0</v>
      </c>
      <c r="X169" s="255">
        <v>0</v>
      </c>
      <c r="Y169" s="193"/>
      <c r="Z169" s="254">
        <f>L169*S169+M169*S170+N169*S171+O169*S172+P169*S173+Q169*S174</f>
        <v>0</v>
      </c>
      <c r="AA169" s="254">
        <f>L169*T169+M169*T170+N169*T171+O169*T172+P169*T173+Q169*T174</f>
        <v>-4620000</v>
      </c>
      <c r="AB169" s="254">
        <f>L169*U169+M169*U170+N169*U171+O169*U172+P169*U173+Q169*U174</f>
        <v>0</v>
      </c>
      <c r="AC169" s="254">
        <f>L169*V169+M169*V170+N169*V171+O169*V172+P169*V173+Q169*V174</f>
        <v>0</v>
      </c>
      <c r="AD169" s="254">
        <f>L169*W169+M169*W170+N169*W171+O169*W172+P169*W173+Q169*W174</f>
        <v>4620000</v>
      </c>
      <c r="AE169" s="255">
        <f>L169*X169+M169*X170+N169*X171+O169*X172+P169*X173+Q169*X174</f>
        <v>0</v>
      </c>
      <c r="AF169" s="193"/>
      <c r="AG169" s="257">
        <f>K25</f>
        <v>0.42291380128099526</v>
      </c>
      <c r="AH169" s="257"/>
      <c r="AI169" s="257">
        <f>Z169*AG169+AA169*AG170+AB169*AG171+AC169*AG172+AD169*AG173+AE169*AG174</f>
        <v>1437.5000000008117</v>
      </c>
      <c r="AK169" s="296" t="s">
        <v>367</v>
      </c>
      <c r="AL169" s="293">
        <f>ABS((Z169*AG169+AA169*AG170+AB169*AG171+AC169*AG172+AD169*AG173+AE169*AG174)/((2*$B$7*$B$8)+($B$9*B23)))</f>
        <v>6.5340909090945987</v>
      </c>
      <c r="AM169" s="294" t="str">
        <f t="shared" ref="AM169:AM174" si="55">IF(AL169&gt;AN169,"&gt;",IF(AL169&lt;AN169,"&lt;",))</f>
        <v>&lt;</v>
      </c>
      <c r="AN169" s="295">
        <f>$F$28</f>
        <v>1440</v>
      </c>
      <c r="AO169" s="298" t="s">
        <v>379</v>
      </c>
      <c r="AP169" s="295">
        <f>(ABS((Z169*AG169+AA169*AG170+AB169*AG171+AC169*AG172+AD169*AG173+AE169*AG174)/((2*$B$7*$B$8)+($B$9*B23))))/$F$28</f>
        <v>4.5375631313156932E-3</v>
      </c>
      <c r="AQ169" s="294" t="str">
        <f t="shared" ref="AQ169:AQ174" si="56">IF(AP169&gt;AR169,"&gt;",IF(AP169&lt;AR169,"&lt;",))</f>
        <v>&lt;</v>
      </c>
      <c r="AR169" s="295">
        <v>0.15</v>
      </c>
      <c r="AX169">
        <f t="shared" ref="AX169:AX174" si="57">G169</f>
        <v>40</v>
      </c>
      <c r="AY169">
        <f>AX169*1000+AY168</f>
        <v>40040</v>
      </c>
      <c r="AZ169">
        <f>AX169*1000+AZ168</f>
        <v>40041</v>
      </c>
      <c r="BA169">
        <f>AX169*1000+BA168</f>
        <v>40042</v>
      </c>
      <c r="BB169">
        <f>AX169*1000+BB168</f>
        <v>40043</v>
      </c>
      <c r="BC169">
        <f>AX169*1000+BC168</f>
        <v>40044</v>
      </c>
      <c r="BD169">
        <f>AX169*1000+BD168</f>
        <v>40045</v>
      </c>
    </row>
    <row r="170" spans="1:56" ht="15.75" thickBot="1" x14ac:dyDescent="0.3">
      <c r="A170" s="249">
        <f>(F167-J167)*B166*B167</f>
        <v>0</v>
      </c>
      <c r="B170" s="258">
        <f>(F167*B167^2+J167*B166^2)</f>
        <v>4620000</v>
      </c>
      <c r="C170" s="245">
        <f>J166*B166</f>
        <v>0</v>
      </c>
      <c r="D170" s="245">
        <f>-(F167-J167)*B166*B167</f>
        <v>0</v>
      </c>
      <c r="E170" s="245">
        <f>-(F167*B167^2+J167*B166^2)</f>
        <v>-4620000</v>
      </c>
      <c r="F170" s="245">
        <f>J166*B166</f>
        <v>0</v>
      </c>
      <c r="G170" s="245">
        <v>41</v>
      </c>
      <c r="H170" s="246"/>
      <c r="I170" s="246"/>
      <c r="J170" s="253"/>
      <c r="K170" s="193"/>
      <c r="L170" s="254">
        <v>0</v>
      </c>
      <c r="M170" s="254">
        <f>J167</f>
        <v>2570232</v>
      </c>
      <c r="N170" s="254">
        <f>J166</f>
        <v>128511600</v>
      </c>
      <c r="O170" s="254">
        <v>0</v>
      </c>
      <c r="P170" s="254">
        <f>-J167</f>
        <v>-2570232</v>
      </c>
      <c r="Q170" s="255">
        <f>J166</f>
        <v>128511600</v>
      </c>
      <c r="R170" s="193"/>
      <c r="S170" s="256">
        <f>-B167</f>
        <v>1</v>
      </c>
      <c r="T170" s="254">
        <f>B166</f>
        <v>0</v>
      </c>
      <c r="U170" s="254">
        <v>0</v>
      </c>
      <c r="V170" s="254">
        <v>0</v>
      </c>
      <c r="W170" s="254">
        <v>0</v>
      </c>
      <c r="X170" s="255">
        <v>0</v>
      </c>
      <c r="Y170" s="193"/>
      <c r="Z170" s="254">
        <f>L170*S169+M170*S170+N170*S171+O170*S172+P170*S173+Q170*S174</f>
        <v>2570232</v>
      </c>
      <c r="AA170" s="254">
        <f>L170*T169+M170*T170+N170*T171+O170*T172+P170*T173+Q170*T174</f>
        <v>0</v>
      </c>
      <c r="AB170" s="254">
        <f>L170*U169+M170*U170+N170*U171+O170*U172+P170*U173+Q170*U174</f>
        <v>128511600</v>
      </c>
      <c r="AC170" s="254">
        <f>L170*V169+M170*V170+N170*V171+O170*V172+P170*V173+Q170*V174</f>
        <v>-2570232</v>
      </c>
      <c r="AD170" s="254">
        <f>L170*W169+M170*W170+N170*W171+O170*W172+P170*W173+Q170*W174</f>
        <v>0</v>
      </c>
      <c r="AE170" s="255">
        <f>L170*X169+M170*X170+N170*X171+O170*X172+P170*X173+Q170*X174</f>
        <v>128511600</v>
      </c>
      <c r="AF170" s="193"/>
      <c r="AG170" s="257">
        <f>O7</f>
        <v>-1.0337000962006796E-3</v>
      </c>
      <c r="AH170" s="257"/>
      <c r="AI170" s="257">
        <f>Z170*AG169+AA170*AG170+AB170*AG171+AC170*AG172+AD170*AG173+AE170*AG174</f>
        <v>1274.6895693926199</v>
      </c>
      <c r="AK170" s="296" t="s">
        <v>368</v>
      </c>
      <c r="AL170" s="293">
        <f>ABS((Z170*AG169+AA170*AG170+AB170*AG171+AC170*AG172+AD170*AG173+AE170*AG174)/((2*$B$7*$B$8)+($B$9*B23)))</f>
        <v>5.7940434972391817</v>
      </c>
      <c r="AM170" s="294" t="str">
        <f t="shared" si="55"/>
        <v>&lt;</v>
      </c>
      <c r="AN170" s="295">
        <f>$H$28</f>
        <v>960</v>
      </c>
      <c r="AO170" s="298" t="s">
        <v>374</v>
      </c>
      <c r="AP170" s="295">
        <f>((ABS((Z170*AG169+AA170*AG170+AB170*AG171+AC170*AG172+AD170*AG173+AE170*AG174)/((2*$B$7*$B$8)+($B$9*B23))))/$H$28)</f>
        <v>6.0354619762908145E-3</v>
      </c>
      <c r="AQ170" s="294" t="str">
        <f t="shared" si="56"/>
        <v>&lt;</v>
      </c>
      <c r="AR170" s="295">
        <v>1</v>
      </c>
      <c r="AX170">
        <f t="shared" si="57"/>
        <v>41</v>
      </c>
      <c r="AY170">
        <f>AX170*1000+AY168</f>
        <v>41040</v>
      </c>
      <c r="AZ170">
        <f>AX170*1000+AZ168</f>
        <v>41041</v>
      </c>
      <c r="BA170">
        <f>AX170*1000+BA168</f>
        <v>41042</v>
      </c>
      <c r="BB170">
        <f>AX170*1000+BB168</f>
        <v>41043</v>
      </c>
      <c r="BC170">
        <f>AX170*1000+BC168</f>
        <v>41044</v>
      </c>
      <c r="BD170">
        <f>AX170*1000+BD168</f>
        <v>41045</v>
      </c>
    </row>
    <row r="171" spans="1:56" ht="15.75" thickBot="1" x14ac:dyDescent="0.3">
      <c r="A171" s="249">
        <f>-J166*B167</f>
        <v>128511600</v>
      </c>
      <c r="B171" s="245">
        <f>J166*B166</f>
        <v>0</v>
      </c>
      <c r="C171" s="258">
        <f>H166</f>
        <v>8567440000</v>
      </c>
      <c r="D171" s="245">
        <f>J166*B167</f>
        <v>-128511600</v>
      </c>
      <c r="E171" s="245">
        <f>-J166*B166</f>
        <v>0</v>
      </c>
      <c r="F171" s="245">
        <f>H167</f>
        <v>4283720000</v>
      </c>
      <c r="G171" s="245">
        <v>42</v>
      </c>
      <c r="H171" s="246"/>
      <c r="I171" s="246"/>
      <c r="J171" s="253"/>
      <c r="K171" s="193"/>
      <c r="L171" s="254">
        <v>0</v>
      </c>
      <c r="M171" s="254">
        <f>J166</f>
        <v>128511600</v>
      </c>
      <c r="N171" s="254">
        <f>H166</f>
        <v>8567440000</v>
      </c>
      <c r="O171" s="254">
        <v>0</v>
      </c>
      <c r="P171" s="254">
        <f>-J166</f>
        <v>-128511600</v>
      </c>
      <c r="Q171" s="255">
        <f>H167</f>
        <v>4283720000</v>
      </c>
      <c r="R171" s="193"/>
      <c r="S171" s="256">
        <v>0</v>
      </c>
      <c r="T171" s="254">
        <v>0</v>
      </c>
      <c r="U171" s="254">
        <v>1</v>
      </c>
      <c r="V171" s="254">
        <v>0</v>
      </c>
      <c r="W171" s="254">
        <v>0</v>
      </c>
      <c r="X171" s="255">
        <v>0</v>
      </c>
      <c r="Y171" s="193"/>
      <c r="Z171" s="254">
        <f>L171*S169+M171*S170+N171*S171+O171*S172+P171*S173+Q171*S174</f>
        <v>128511600</v>
      </c>
      <c r="AA171" s="254">
        <f>L171*T169+M171*T170+N171*T171+O171*T172+P171*T173+Q171*T174</f>
        <v>0</v>
      </c>
      <c r="AB171" s="254">
        <f>L171*U169+M171*U170+N171*U171+O171*U172+P171*U173+Q171*U174</f>
        <v>8567440000</v>
      </c>
      <c r="AC171" s="254">
        <f>L171*V169+M171*V170+N171*V171+O171*V172+P171*V173+Q171*V174</f>
        <v>-128511600</v>
      </c>
      <c r="AD171" s="254">
        <f>L171*W169+M171*W170+N171*W171+O171*W172+P171*W173+Q171*W174</f>
        <v>0</v>
      </c>
      <c r="AE171" s="255">
        <f>L171*X169+M171*X170+N171*X171+O171*X172+P171*X173+Q171*X174</f>
        <v>4283720000</v>
      </c>
      <c r="AF171" s="193"/>
      <c r="AG171" s="257">
        <f>O8</f>
        <v>-1.190746497659087E-3</v>
      </c>
      <c r="AH171" s="257"/>
      <c r="AI171" s="257">
        <f>Z171*AG169+AA171*AG170+AB171*AG171+AC171*AG172+AD171*AG173+AE171*AG174</f>
        <v>382406.87081781309</v>
      </c>
      <c r="AK171" s="296" t="s">
        <v>369</v>
      </c>
      <c r="AL171" s="293">
        <f>ABS((Z171*AG169+AA171*AG170+AB171*AG171+AC171*AG172+AD171*AG173+AE171*AG174)*($B$8+0.5*B23)/(2*((($B$7*($B$8)^3)/12)+($B$7*$B$8)*(B23+2*$B$8-0.5*$B$8-($B$8+0.5*B23))^2)+($B$9*(B23)^3)/12))</f>
        <v>101.2319646259326</v>
      </c>
      <c r="AM171" s="294" t="str">
        <f t="shared" si="55"/>
        <v>&lt;</v>
      </c>
      <c r="AN171" s="295">
        <f>$J$28</f>
        <v>1440</v>
      </c>
      <c r="AO171" s="298" t="s">
        <v>373</v>
      </c>
      <c r="AP171" s="305">
        <f>((ABS((Z169*AG169+AA169*AG170+AB169*AG171+AC169*AG172+AD169*AG173+AE169*AG174)/((2*$B$7*$B$8)+($B$9*B23))))/$F$28)+((ABS((Z171*AG169+AA171*AG170+AB171*AG171+AC171*AG172+AD171*AG173+AE171*AG174)*($B$8+0.5*B23)/(2*((($B$7*($B$8)^3)/12)+($B$7*$B$8)*(B23+2*$B$8-0.5*$B$8-($B$8+0.5*B23))^2)+($B$9*(B23)^3)/12)))/$J$28)</f>
        <v>7.483753856599111E-2</v>
      </c>
      <c r="AQ171" s="294" t="str">
        <f t="shared" si="56"/>
        <v>&lt;</v>
      </c>
      <c r="AR171" s="295">
        <v>1</v>
      </c>
      <c r="AX171">
        <f t="shared" si="57"/>
        <v>42</v>
      </c>
      <c r="AY171">
        <f>AX171*1000+AY168</f>
        <v>42040</v>
      </c>
      <c r="AZ171">
        <f>AX171*1000+AZ168</f>
        <v>42041</v>
      </c>
      <c r="BA171">
        <f>AX171*1000+BA168</f>
        <v>42042</v>
      </c>
      <c r="BB171">
        <f>AX171*1000+BB168</f>
        <v>42043</v>
      </c>
      <c r="BC171">
        <f>AX171*1000+BC168</f>
        <v>42044</v>
      </c>
      <c r="BD171">
        <f>AX171*1000+BD168</f>
        <v>42045</v>
      </c>
    </row>
    <row r="172" spans="1:56" ht="16.5" thickBot="1" x14ac:dyDescent="0.3">
      <c r="A172" s="249">
        <f>-(F167*B166^2+J167*B167^2)</f>
        <v>-2570232</v>
      </c>
      <c r="B172" s="245">
        <f>-(F167-J167)*B166*B167</f>
        <v>0</v>
      </c>
      <c r="C172" s="245">
        <f>J166*B167</f>
        <v>-128511600</v>
      </c>
      <c r="D172" s="258">
        <f>(F167*B166^2+J167*B167^2)</f>
        <v>2570232</v>
      </c>
      <c r="E172" s="245">
        <f>(F167-J167)*B166*B167</f>
        <v>0</v>
      </c>
      <c r="F172" s="245">
        <f>J166*B167</f>
        <v>-128511600</v>
      </c>
      <c r="G172" s="245">
        <v>43</v>
      </c>
      <c r="H172" s="246"/>
      <c r="I172" s="246"/>
      <c r="J172" s="253"/>
      <c r="K172" s="193"/>
      <c r="L172" s="254">
        <f>-F167</f>
        <v>-4620000</v>
      </c>
      <c r="M172" s="254">
        <v>0</v>
      </c>
      <c r="N172" s="254">
        <v>0</v>
      </c>
      <c r="O172" s="254">
        <f>F167</f>
        <v>4620000</v>
      </c>
      <c r="P172" s="254">
        <v>0</v>
      </c>
      <c r="Q172" s="255">
        <v>0</v>
      </c>
      <c r="R172" s="259" t="s">
        <v>287</v>
      </c>
      <c r="S172" s="256">
        <v>0</v>
      </c>
      <c r="T172" s="254">
        <v>0</v>
      </c>
      <c r="U172" s="254">
        <v>0</v>
      </c>
      <c r="V172" s="254">
        <f>B166</f>
        <v>0</v>
      </c>
      <c r="W172" s="254">
        <f>B167</f>
        <v>-1</v>
      </c>
      <c r="X172" s="255">
        <v>0</v>
      </c>
      <c r="Y172" s="260" t="s">
        <v>127</v>
      </c>
      <c r="Z172" s="254">
        <f>L172*S169+M172*S170+N172*S171+O172*S172+P172*S173+Q172*S174</f>
        <v>0</v>
      </c>
      <c r="AA172" s="254">
        <f>L172*T169+M172*T170+N172*T171+O172*T172+P172*T173+Q172*T174</f>
        <v>4620000</v>
      </c>
      <c r="AB172" s="254">
        <f>L172*U169+M172*U170+N172*U171+O172*U172+P172*U173+Q172*U174</f>
        <v>0</v>
      </c>
      <c r="AC172" s="254">
        <f>L172*V169+M172*V170+N172*V171+O172*V172+P172*V173+Q172*V174</f>
        <v>0</v>
      </c>
      <c r="AD172" s="254">
        <f>L172*W169+M172*W170+N172*W171+O172*W172+P172*W173+Q172*W174</f>
        <v>-4620000</v>
      </c>
      <c r="AE172" s="255">
        <f>L172*X169+M172*X170+N172*X171+O172*X172+P172*X173+Q172*X174</f>
        <v>0</v>
      </c>
      <c r="AF172" s="259" t="s">
        <v>287</v>
      </c>
      <c r="AG172" s="257">
        <f>O9</f>
        <v>0.29590405728612845</v>
      </c>
      <c r="AH172" s="259" t="s">
        <v>127</v>
      </c>
      <c r="AI172" s="257">
        <f>Z172*AG169+AA172*AG170+AB172*AG171+AC172*AG172+AD172*AG173+AE172*AG174</f>
        <v>-1437.5000000008117</v>
      </c>
      <c r="AK172" s="296" t="s">
        <v>370</v>
      </c>
      <c r="AL172" s="293">
        <f>ABS((Z172*AG169+AA172*AG170+AB172*AG171+AC172*AG172+AD172*AG173+AE172*AG174)/((2*$B$7*$B$8)+($B$9*B23)))</f>
        <v>6.5340909090945987</v>
      </c>
      <c r="AM172" s="294" t="str">
        <f t="shared" si="55"/>
        <v>&lt;</v>
      </c>
      <c r="AN172" s="295">
        <f>$F$28</f>
        <v>1440</v>
      </c>
      <c r="AO172" s="298" t="s">
        <v>378</v>
      </c>
      <c r="AP172" s="295">
        <f>(B23)/$B$9</f>
        <v>25</v>
      </c>
      <c r="AQ172" s="294" t="str">
        <f t="shared" si="56"/>
        <v>&lt;</v>
      </c>
      <c r="AR172" s="295">
        <f>6370/($J$28)^0.5</f>
        <v>167.86423912727147</v>
      </c>
      <c r="AX172">
        <f t="shared" si="57"/>
        <v>43</v>
      </c>
      <c r="AY172">
        <f>AX172*1000+AY168</f>
        <v>43040</v>
      </c>
      <c r="AZ172">
        <f>AX172*1000+AZ168</f>
        <v>43041</v>
      </c>
      <c r="BA172">
        <f>AX172*1000+BA168</f>
        <v>43042</v>
      </c>
      <c r="BB172">
        <f>AX172*1000+BB168</f>
        <v>43043</v>
      </c>
      <c r="BC172">
        <f>AX172*1000+BC168</f>
        <v>43044</v>
      </c>
      <c r="BD172">
        <f>AX172*1000+BD168</f>
        <v>43045</v>
      </c>
    </row>
    <row r="173" spans="1:56" ht="15.75" thickBot="1" x14ac:dyDescent="0.3">
      <c r="A173" s="249">
        <f>-(F167-J167)*B166*B167</f>
        <v>0</v>
      </c>
      <c r="B173" s="245">
        <f>-(F167*B167^2+J167*B166^2)</f>
        <v>-4620000</v>
      </c>
      <c r="C173" s="245">
        <f>-J166*B166</f>
        <v>0</v>
      </c>
      <c r="D173" s="245">
        <f>(F167-J167)*B166*B167</f>
        <v>0</v>
      </c>
      <c r="E173" s="258">
        <f>(F167*B167^2+J167*B166^2)</f>
        <v>4620000</v>
      </c>
      <c r="F173" s="245">
        <f>-J166*B166</f>
        <v>0</v>
      </c>
      <c r="G173" s="245">
        <v>44</v>
      </c>
      <c r="H173" s="246"/>
      <c r="I173" s="246"/>
      <c r="J173" s="253"/>
      <c r="K173" s="193"/>
      <c r="L173" s="254">
        <v>0</v>
      </c>
      <c r="M173" s="254">
        <f>-J167</f>
        <v>-2570232</v>
      </c>
      <c r="N173" s="254">
        <f>-J166</f>
        <v>-128511600</v>
      </c>
      <c r="O173" s="254">
        <v>0</v>
      </c>
      <c r="P173" s="254">
        <f>J167</f>
        <v>2570232</v>
      </c>
      <c r="Q173" s="255">
        <f>-J166</f>
        <v>-128511600</v>
      </c>
      <c r="R173" s="193"/>
      <c r="S173" s="256">
        <v>0</v>
      </c>
      <c r="T173" s="254">
        <v>0</v>
      </c>
      <c r="U173" s="254">
        <v>0</v>
      </c>
      <c r="V173" s="254">
        <f>-B167</f>
        <v>1</v>
      </c>
      <c r="W173" s="254">
        <f>B166</f>
        <v>0</v>
      </c>
      <c r="X173" s="255">
        <v>0</v>
      </c>
      <c r="Y173" s="193"/>
      <c r="Z173" s="254">
        <f>L173*S169+M173*S170+N173*S171+O173*S172+P173*S173+Q173*S174</f>
        <v>-2570232</v>
      </c>
      <c r="AA173" s="254">
        <f>L173*T169+M173*T170+N173*T171+O173*T172+P173*T173+Q173*T174</f>
        <v>0</v>
      </c>
      <c r="AB173" s="254">
        <f>L173*U169+M173*U170+N173*U171+O173*U172+P173*U173+Q173*U174</f>
        <v>-128511600</v>
      </c>
      <c r="AC173" s="254">
        <f>L173*V169+M173*V170+N173*V171+O173*V172+P173*V173+Q173*V174</f>
        <v>2570232</v>
      </c>
      <c r="AD173" s="254">
        <f>L173*W169+M173*W170+N173*W171+O173*W172+P173*W173+Q173*W174</f>
        <v>0</v>
      </c>
      <c r="AE173" s="255">
        <f>L173*X169+M173*X170+N173*X171+O173*X172+P173*X173+Q173*X174</f>
        <v>-128511600</v>
      </c>
      <c r="AF173" s="193"/>
      <c r="AG173" s="257">
        <f>O10</f>
        <v>-7.2255291005331786E-4</v>
      </c>
      <c r="AH173" s="257"/>
      <c r="AI173" s="257">
        <f>Z173*AG169+AA173*AG170+AB173*AG171+AC173*AG172+AD173*AG173+AE173*AG174</f>
        <v>-1274.6895693926199</v>
      </c>
      <c r="AK173" s="296" t="s">
        <v>371</v>
      </c>
      <c r="AL173" s="293">
        <f>ABS((Z173*AG169+AA173*AG170+AB173*AG171+AC173*AG172+AD173*AG173+AE173*AG174)/((2*$B$7*$B$8)+($B$9*B23)))</f>
        <v>5.7940434972391817</v>
      </c>
      <c r="AM173" s="294" t="str">
        <f t="shared" si="55"/>
        <v>&lt;</v>
      </c>
      <c r="AN173" s="295">
        <f>$H$28</f>
        <v>960</v>
      </c>
      <c r="AO173" s="298" t="s">
        <v>374</v>
      </c>
      <c r="AP173" s="295">
        <f>((ABS((Z173*AG169+AA173*AG170+AB173*AG171+AC173*AG172+AD173*AG173+AE173*AG174)/((2*$B$7*$B$8)+($B$9*B23))))/$H$28)</f>
        <v>6.0354619762908145E-3</v>
      </c>
      <c r="AQ173" s="294" t="str">
        <f t="shared" si="56"/>
        <v>&lt;</v>
      </c>
      <c r="AR173" s="295">
        <v>1</v>
      </c>
      <c r="AX173">
        <f t="shared" si="57"/>
        <v>44</v>
      </c>
      <c r="AY173">
        <f>AX173*1000+AY168</f>
        <v>44040</v>
      </c>
      <c r="AZ173">
        <f>AX173*1000+AZ168</f>
        <v>44041</v>
      </c>
      <c r="BA173">
        <f>AX173*1000+BA168</f>
        <v>44042</v>
      </c>
      <c r="BB173">
        <f>AX173*1000+BB168</f>
        <v>44043</v>
      </c>
      <c r="BC173">
        <f>AX173*1000+BC168</f>
        <v>44044</v>
      </c>
      <c r="BD173">
        <f>AX173*1000+BD168</f>
        <v>44045</v>
      </c>
    </row>
    <row r="174" spans="1:56" ht="15.75" thickBot="1" x14ac:dyDescent="0.3">
      <c r="A174" s="261">
        <f>-J166*B167</f>
        <v>128511600</v>
      </c>
      <c r="B174" s="262">
        <f>J166*B166</f>
        <v>0</v>
      </c>
      <c r="C174" s="262">
        <f>H167</f>
        <v>4283720000</v>
      </c>
      <c r="D174" s="262">
        <f>J166*B167</f>
        <v>-128511600</v>
      </c>
      <c r="E174" s="262">
        <f>-J166*B166</f>
        <v>0</v>
      </c>
      <c r="F174" s="263">
        <f>H166</f>
        <v>8567440000</v>
      </c>
      <c r="G174" s="262">
        <v>45</v>
      </c>
      <c r="H174" s="264"/>
      <c r="I174" s="264"/>
      <c r="J174" s="265"/>
      <c r="K174" s="193"/>
      <c r="L174" s="254">
        <v>0</v>
      </c>
      <c r="M174" s="254">
        <f>J166</f>
        <v>128511600</v>
      </c>
      <c r="N174" s="254">
        <f>H167</f>
        <v>4283720000</v>
      </c>
      <c r="O174" s="254">
        <v>0</v>
      </c>
      <c r="P174" s="254">
        <f>-J166</f>
        <v>-128511600</v>
      </c>
      <c r="Q174" s="255">
        <f>H166</f>
        <v>8567440000</v>
      </c>
      <c r="R174" s="193"/>
      <c r="S174" s="256">
        <v>0</v>
      </c>
      <c r="T174" s="254">
        <v>0</v>
      </c>
      <c r="U174" s="254">
        <v>0</v>
      </c>
      <c r="V174" s="254">
        <v>0</v>
      </c>
      <c r="W174" s="254">
        <v>0</v>
      </c>
      <c r="X174" s="255">
        <v>1</v>
      </c>
      <c r="Y174" s="193"/>
      <c r="Z174" s="254">
        <f>L174*S169+M174*S170+N174*S171+O174*S172+P174*S173+Q174*S174</f>
        <v>128511600</v>
      </c>
      <c r="AA174" s="254">
        <f>L174*T169+M174*T170+N174*T171+O174*T172+P174*T173+Q174*T174</f>
        <v>0</v>
      </c>
      <c r="AB174" s="254">
        <f>L174*U169+M174*U170+N174*U171+O174*U172+P174*U173+Q174*U174</f>
        <v>4283720000</v>
      </c>
      <c r="AC174" s="254">
        <f>L174*V169+M174*V170+N174*V171+O174*V172+P174*V173+Q174*V174</f>
        <v>-128511600</v>
      </c>
      <c r="AD174" s="254">
        <f>L174*W169+M174*W170+N174*W171+O174*W172+P174*W173+Q174*W174</f>
        <v>0</v>
      </c>
      <c r="AE174" s="255">
        <f>L174*X169+M174*X170+N174*X171+O174*X172+P174*X173+Q174*X174</f>
        <v>8567440000</v>
      </c>
      <c r="AF174" s="193"/>
      <c r="AG174" s="257">
        <f>O11</f>
        <v>-1.3395295144520527E-3</v>
      </c>
      <c r="AH174" s="257"/>
      <c r="AI174" s="257">
        <f>Z174*AG169+AA174*AG170+AB174*AG171+AC174*AG172+AD174*AG173+AE174*AG174</f>
        <v>-254937.91387855448</v>
      </c>
      <c r="AK174" s="296" t="s">
        <v>372</v>
      </c>
      <c r="AL174" s="293">
        <f>ABS((Z174*AG169+AA174*AG170+AB174*AG171+AC174*AG172+AD174*AG173+AE174*AG174)*($B$8+0.5*B23)/(2*((($B$7*($B$8)^3)/12)+($B$7*$B$8)*(B23+2*$B$8-0.5*$B$8-($B$8+0.5*B23))^2)+($B$9*(B23)^3)/12))</f>
        <v>67.487976417291705</v>
      </c>
      <c r="AM174" s="294" t="str">
        <f t="shared" si="55"/>
        <v>&lt;</v>
      </c>
      <c r="AN174" s="295">
        <f>$J$28</f>
        <v>1440</v>
      </c>
      <c r="AO174" s="298" t="s">
        <v>373</v>
      </c>
      <c r="AP174" s="305">
        <f>((ABS((Z172*AG169+AA172*AG170+AB172*AG171+AC172*AG172+AD172*AG173+AE172*AG174)/((2*$B$7*$B$8)+($B$9*B23))))/$F$28)+((ABS((Z174*AG169+AA174*AG170+AB174*AG171+AC174*AG172+AD174*AG173+AE174*AG174)*($B$8+0.5*B23)/(2*((($B$7*($B$8)^3)/12)+($B$7*$B$8)*(B23+2*$B$8-0.5*$B$8-($B$8+0.5*B23))^2)+($B$9*(B23)^3)/12)))/$J$28)</f>
        <v>5.1404213421101602E-2</v>
      </c>
      <c r="AQ174" s="294" t="str">
        <f t="shared" si="56"/>
        <v>&lt;</v>
      </c>
      <c r="AR174" s="295">
        <v>1</v>
      </c>
      <c r="AX174">
        <f t="shared" si="57"/>
        <v>45</v>
      </c>
      <c r="AY174">
        <f>AX174*1000+AY168</f>
        <v>45040</v>
      </c>
      <c r="AZ174">
        <f>AX174*1000+AZ168</f>
        <v>45041</v>
      </c>
      <c r="BA174">
        <f>AX174*1000+BA168</f>
        <v>45042</v>
      </c>
      <c r="BB174">
        <f>AX174*1000+BB168</f>
        <v>45043</v>
      </c>
      <c r="BC174">
        <f>AX174*1000+BC168</f>
        <v>45044</v>
      </c>
      <c r="BD174">
        <f>AX174*1000+BD168</f>
        <v>45045</v>
      </c>
    </row>
    <row r="175" spans="1:56" x14ac:dyDescent="0.25">
      <c r="A175" s="239" t="s">
        <v>279</v>
      </c>
      <c r="B175" s="240">
        <f>(D46-B46)/F46</f>
        <v>0</v>
      </c>
      <c r="C175" s="241" t="s">
        <v>280</v>
      </c>
      <c r="D175" s="240">
        <f>$B$8+0.5*B24</f>
        <v>22</v>
      </c>
      <c r="E175" s="241" t="s">
        <v>30</v>
      </c>
      <c r="F175" s="242">
        <f>2*((($B$7*($B$8)^3)/12)+($B$7*$B$8)*(B24+2*$B$8-0.5*$B$8-($B$8+0.5*B24))^2)+($B$9*(B24)^3)/12</f>
        <v>63626.666666666664</v>
      </c>
      <c r="G175" s="241" t="s">
        <v>281</v>
      </c>
      <c r="H175" s="241">
        <f>4*$B$28*(2*((($B$7*($B$8)^3)/12)+($B$7*$B$8)*(B24+2*$B$8-0.5*$B$8-($B$8+0.5*B24))^2)+($B$9*(B24)^3)/12)/F46</f>
        <v>5344640000</v>
      </c>
      <c r="I175" s="241" t="s">
        <v>282</v>
      </c>
      <c r="J175" s="243">
        <f>6*$B$28*(2*((($B$7*($B$8)^3)/12)+($B$7*$B$8)*(B24+2*$B$8-0.5*$B$8-($B$8+0.5*B24))^2)+($B$9*(B24)^3)/12)/(F46^2)</f>
        <v>80169600</v>
      </c>
    </row>
    <row r="176" spans="1:56" x14ac:dyDescent="0.25">
      <c r="A176" s="244" t="s">
        <v>283</v>
      </c>
      <c r="B176" s="245">
        <f>(E46-C46)/F46</f>
        <v>-1</v>
      </c>
      <c r="C176" s="246" t="s">
        <v>13</v>
      </c>
      <c r="D176" s="247">
        <f>(2*$B$7*$B$8)+($B$9*B24)</f>
        <v>200</v>
      </c>
      <c r="E176" s="246" t="s">
        <v>284</v>
      </c>
      <c r="F176" s="246">
        <f>$B$28*((2*$B$7*$B$8)+($B$9*B24))/F46</f>
        <v>4200000</v>
      </c>
      <c r="G176" s="246" t="s">
        <v>285</v>
      </c>
      <c r="H176" s="246">
        <f>2*$B$28*(2*((($B$7*($B$8)^3)/12)+($B$7*$B$8)*(B24+2*$B$8-0.5*$B$8-($B$8+0.5*B24))^2)+($B$9*(B24)^3)/12)/F46</f>
        <v>2672320000</v>
      </c>
      <c r="I176" s="246" t="s">
        <v>286</v>
      </c>
      <c r="J176" s="248">
        <f>12*$B$28*(2*((($B$7*($B$8)^3)/12)+($B$7*$B$8)*(B24+2*$B$8-0.5*$B$8-($B$8+0.5*B24))^2)+($B$9*(B24)^3)/12)/(F46^3)</f>
        <v>1603392</v>
      </c>
    </row>
    <row r="177" spans="1:56" ht="15.75" thickBot="1" x14ac:dyDescent="0.3">
      <c r="A177" s="249">
        <f>G178</f>
        <v>43</v>
      </c>
      <c r="B177" s="245">
        <f>G179</f>
        <v>44</v>
      </c>
      <c r="C177" s="245">
        <f>G180</f>
        <v>45</v>
      </c>
      <c r="D177" s="245">
        <f>G181</f>
        <v>46</v>
      </c>
      <c r="E177" s="245">
        <f>G182</f>
        <v>47</v>
      </c>
      <c r="F177" s="245">
        <f>G183</f>
        <v>48</v>
      </c>
      <c r="G177" s="250"/>
      <c r="H177" s="246"/>
      <c r="I177" s="246"/>
      <c r="J177" s="251">
        <v>15</v>
      </c>
      <c r="AY177">
        <f>AX178</f>
        <v>43</v>
      </c>
      <c r="AZ177">
        <f>AX179</f>
        <v>44</v>
      </c>
      <c r="BA177">
        <f>AX180</f>
        <v>45</v>
      </c>
      <c r="BB177">
        <f>AX181</f>
        <v>46</v>
      </c>
      <c r="BC177">
        <f>AX182</f>
        <v>47</v>
      </c>
      <c r="BD177">
        <f>AX183</f>
        <v>48</v>
      </c>
    </row>
    <row r="178" spans="1:56" ht="15.75" thickBot="1" x14ac:dyDescent="0.3">
      <c r="A178" s="252">
        <f>(F176*B175^2+J176*B176^2)</f>
        <v>1603392</v>
      </c>
      <c r="B178" s="245">
        <f>(F176-J176)*B175*B176</f>
        <v>0</v>
      </c>
      <c r="C178" s="245">
        <f>-J175*B176</f>
        <v>80169600</v>
      </c>
      <c r="D178" s="245">
        <f>-(F176*B175^2+J176*B176^2)</f>
        <v>-1603392</v>
      </c>
      <c r="E178" s="245">
        <f>-(F176-J176)*B175*B176</f>
        <v>0</v>
      </c>
      <c r="F178" s="245">
        <f>-J175*B176</f>
        <v>80169600</v>
      </c>
      <c r="G178" s="245">
        <v>43</v>
      </c>
      <c r="H178" s="246"/>
      <c r="I178" s="250"/>
      <c r="J178" s="253"/>
      <c r="K178" s="193"/>
      <c r="L178" s="254">
        <f>F176</f>
        <v>4200000</v>
      </c>
      <c r="M178" s="254">
        <v>0</v>
      </c>
      <c r="N178" s="254">
        <v>0</v>
      </c>
      <c r="O178" s="254">
        <f>-F176</f>
        <v>-4200000</v>
      </c>
      <c r="P178" s="254">
        <v>0</v>
      </c>
      <c r="Q178" s="255">
        <v>0</v>
      </c>
      <c r="R178" s="193"/>
      <c r="S178" s="256">
        <f>B175</f>
        <v>0</v>
      </c>
      <c r="T178" s="254">
        <f>B176</f>
        <v>-1</v>
      </c>
      <c r="U178" s="254">
        <v>0</v>
      </c>
      <c r="V178" s="254">
        <v>0</v>
      </c>
      <c r="W178" s="254">
        <v>0</v>
      </c>
      <c r="X178" s="255">
        <v>0</v>
      </c>
      <c r="Y178" s="193"/>
      <c r="Z178" s="254">
        <f>L178*S178+M178*S179+N178*S180+O178*S181+P178*S182+Q178*S183</f>
        <v>0</v>
      </c>
      <c r="AA178" s="254">
        <f>L178*T178+M178*T179+N178*T180+O178*T181+P178*T182+Q178*T183</f>
        <v>-4200000</v>
      </c>
      <c r="AB178" s="254">
        <f>L178*U178+M178*U179+N178*U180+O178*U181+P178*U182+Q178*U183</f>
        <v>0</v>
      </c>
      <c r="AC178" s="254">
        <f>L178*V178+M178*V179+N178*V180+O178*V181+P178*V182+Q178*V183</f>
        <v>0</v>
      </c>
      <c r="AD178" s="254">
        <f>L178*W178+M178*W179+N178*W180+O178*W181+P178*W182+Q178*W183</f>
        <v>4200000</v>
      </c>
      <c r="AE178" s="255">
        <f>L178*X178+M178*X179+N178*X180+O178*X181+P178*X182+Q178*X183</f>
        <v>0</v>
      </c>
      <c r="AF178" s="193"/>
      <c r="AG178" s="257">
        <f t="shared" ref="AG178:AG183" si="58">O9</f>
        <v>0.29590405728612845</v>
      </c>
      <c r="AH178" s="257"/>
      <c r="AI178" s="257">
        <f>Z178*AG178+AA178*AG179+AB178*AG180+AC178*AG181+AD178*AG182+AE178*AG183</f>
        <v>1437.5000000008117</v>
      </c>
      <c r="AK178" s="296" t="s">
        <v>367</v>
      </c>
      <c r="AL178" s="293">
        <f>ABS((Z178*AG178+AA178*AG179+AB178*AG180+AC178*AG181+AD178*AG182+AE178*AG183)/((2*$B$7*$B$8)+($B$9*B24)))</f>
        <v>7.187500000004059</v>
      </c>
      <c r="AM178" s="294" t="str">
        <f t="shared" ref="AM178:AM183" si="59">IF(AL178&gt;AN178,"&gt;",IF(AL178&lt;AN178,"&lt;",))</f>
        <v>&lt;</v>
      </c>
      <c r="AN178" s="295">
        <f>$F$28</f>
        <v>1440</v>
      </c>
      <c r="AO178" s="298" t="s">
        <v>379</v>
      </c>
      <c r="AP178" s="295">
        <f>(ABS((Z178*AG178+AA178*AG179+AB178*AG180+AC178*AG181+AD178*AG182+AE178*AG183)/((2*$B$7*$B$8)+($B$9*B24))))/$F$28</f>
        <v>4.991319444447263E-3</v>
      </c>
      <c r="AQ178" s="294" t="str">
        <f t="shared" ref="AQ178:AQ183" si="60">IF(AP178&gt;AR178,"&gt;",IF(AP178&lt;AR178,"&lt;",))</f>
        <v>&lt;</v>
      </c>
      <c r="AR178" s="295">
        <v>0.15</v>
      </c>
      <c r="AX178">
        <f t="shared" ref="AX178:AX183" si="61">G178</f>
        <v>43</v>
      </c>
      <c r="AY178">
        <f>AX178*1000+AY177</f>
        <v>43043</v>
      </c>
      <c r="AZ178">
        <f>AX178*1000+AZ177</f>
        <v>43044</v>
      </c>
      <c r="BA178">
        <f>AX178*1000+BA177</f>
        <v>43045</v>
      </c>
      <c r="BB178">
        <f>AX178*1000+BB177</f>
        <v>43046</v>
      </c>
      <c r="BC178">
        <f>AX178*1000+BC177</f>
        <v>43047</v>
      </c>
      <c r="BD178">
        <f>AX178*1000+BD177</f>
        <v>43048</v>
      </c>
    </row>
    <row r="179" spans="1:56" ht="15.75" thickBot="1" x14ac:dyDescent="0.3">
      <c r="A179" s="249">
        <f>(F176-J176)*B175*B176</f>
        <v>0</v>
      </c>
      <c r="B179" s="258">
        <f>(F176*B176^2+J176*B175^2)</f>
        <v>4200000</v>
      </c>
      <c r="C179" s="245">
        <f>J175*B175</f>
        <v>0</v>
      </c>
      <c r="D179" s="245">
        <f>-(F176-J176)*B175*B176</f>
        <v>0</v>
      </c>
      <c r="E179" s="245">
        <f>-(F176*B176^2+J176*B175^2)</f>
        <v>-4200000</v>
      </c>
      <c r="F179" s="245">
        <f>J175*B175</f>
        <v>0</v>
      </c>
      <c r="G179" s="245">
        <v>44</v>
      </c>
      <c r="H179" s="246"/>
      <c r="I179" s="246"/>
      <c r="J179" s="253"/>
      <c r="K179" s="193"/>
      <c r="L179" s="254">
        <v>0</v>
      </c>
      <c r="M179" s="254">
        <f>J176</f>
        <v>1603392</v>
      </c>
      <c r="N179" s="254">
        <f>J175</f>
        <v>80169600</v>
      </c>
      <c r="O179" s="254">
        <v>0</v>
      </c>
      <c r="P179" s="254">
        <f>-J176</f>
        <v>-1603392</v>
      </c>
      <c r="Q179" s="255">
        <f>J175</f>
        <v>80169600</v>
      </c>
      <c r="R179" s="193"/>
      <c r="S179" s="256">
        <f>-B176</f>
        <v>1</v>
      </c>
      <c r="T179" s="254">
        <f>B175</f>
        <v>0</v>
      </c>
      <c r="U179" s="254">
        <v>0</v>
      </c>
      <c r="V179" s="254">
        <v>0</v>
      </c>
      <c r="W179" s="254">
        <v>0</v>
      </c>
      <c r="X179" s="255">
        <v>0</v>
      </c>
      <c r="Y179" s="193"/>
      <c r="Z179" s="254">
        <f>L179*S178+M179*S179+N179*S180+O179*S181+P179*S182+Q179*S183</f>
        <v>1603392</v>
      </c>
      <c r="AA179" s="254">
        <f>L179*T178+M179*T179+N179*T180+O179*T181+P179*T182+Q179*T183</f>
        <v>0</v>
      </c>
      <c r="AB179" s="254">
        <f>L179*U178+M179*U179+N179*U180+O179*U181+P179*U182+Q179*U183</f>
        <v>80169600</v>
      </c>
      <c r="AC179" s="254">
        <f>L179*V178+M179*V179+N179*V180+O179*V181+P179*V182+Q179*V183</f>
        <v>-1603392</v>
      </c>
      <c r="AD179" s="254">
        <f>L179*W178+M179*W179+N179*W180+O179*W181+P179*W182+Q179*W183</f>
        <v>0</v>
      </c>
      <c r="AE179" s="255">
        <f>L179*X178+M179*X179+N179*X180+O179*X181+P179*X182+Q179*X183</f>
        <v>80169600</v>
      </c>
      <c r="AF179" s="193"/>
      <c r="AG179" s="257">
        <f t="shared" si="58"/>
        <v>-7.2255291005331786E-4</v>
      </c>
      <c r="AH179" s="257"/>
      <c r="AI179" s="257">
        <f>Z179*AG178+AA179*AG179+AB179*AG180+AC179*AG181+AD179*AG182+AE179*AG183</f>
        <v>1274.6895693928091</v>
      </c>
      <c r="AK179" s="296" t="s">
        <v>368</v>
      </c>
      <c r="AL179" s="293">
        <f>ABS((Z179*AG178+AA179*AG179+AB179*AG180+AC179*AG181+AD179*AG182+AE179*AG183)/((2*$B$7*$B$8)+($B$9*B24)))</f>
        <v>6.3734478469640452</v>
      </c>
      <c r="AM179" s="294" t="str">
        <f t="shared" si="59"/>
        <v>&lt;</v>
      </c>
      <c r="AN179" s="295">
        <f>$H$28</f>
        <v>960</v>
      </c>
      <c r="AO179" s="298" t="s">
        <v>374</v>
      </c>
      <c r="AP179" s="295">
        <f>((ABS((Z179*AG178+AA179*AG179+AB179*AG180+AC179*AG181+AD179*AG182+AE179*AG183)/((2*$B$7*$B$8)+($B$9*B24))))/$H$28)</f>
        <v>6.6390081739208804E-3</v>
      </c>
      <c r="AQ179" s="294" t="str">
        <f t="shared" si="60"/>
        <v>&lt;</v>
      </c>
      <c r="AR179" s="295">
        <v>1</v>
      </c>
      <c r="AX179">
        <f t="shared" si="61"/>
        <v>44</v>
      </c>
      <c r="AY179">
        <f>AX179*1000+AY177</f>
        <v>44043</v>
      </c>
      <c r="AZ179">
        <f>AX179*1000+AZ177</f>
        <v>44044</v>
      </c>
      <c r="BA179">
        <f>AX179*1000+BA177</f>
        <v>44045</v>
      </c>
      <c r="BB179">
        <f>AX179*1000+BB177</f>
        <v>44046</v>
      </c>
      <c r="BC179">
        <f>AX179*1000+BC177</f>
        <v>44047</v>
      </c>
      <c r="BD179">
        <f>AX179*1000+BD177</f>
        <v>44048</v>
      </c>
    </row>
    <row r="180" spans="1:56" ht="15.75" thickBot="1" x14ac:dyDescent="0.3">
      <c r="A180" s="249">
        <f>-J175*B176</f>
        <v>80169600</v>
      </c>
      <c r="B180" s="245">
        <f>J175*B175</f>
        <v>0</v>
      </c>
      <c r="C180" s="258">
        <f>H175</f>
        <v>5344640000</v>
      </c>
      <c r="D180" s="245">
        <f>J175*B176</f>
        <v>-80169600</v>
      </c>
      <c r="E180" s="245">
        <f>-J175*B175</f>
        <v>0</v>
      </c>
      <c r="F180" s="245">
        <f>H176</f>
        <v>2672320000</v>
      </c>
      <c r="G180" s="245">
        <v>45</v>
      </c>
      <c r="H180" s="246"/>
      <c r="I180" s="246"/>
      <c r="J180" s="253"/>
      <c r="K180" s="193"/>
      <c r="L180" s="254">
        <v>0</v>
      </c>
      <c r="M180" s="254">
        <f>J175</f>
        <v>80169600</v>
      </c>
      <c r="N180" s="254">
        <f>H175</f>
        <v>5344640000</v>
      </c>
      <c r="O180" s="254">
        <v>0</v>
      </c>
      <c r="P180" s="254">
        <f>-J175</f>
        <v>-80169600</v>
      </c>
      <c r="Q180" s="255">
        <f>H176</f>
        <v>2672320000</v>
      </c>
      <c r="R180" s="193"/>
      <c r="S180" s="256">
        <v>0</v>
      </c>
      <c r="T180" s="254">
        <v>0</v>
      </c>
      <c r="U180" s="254">
        <v>1</v>
      </c>
      <c r="V180" s="254">
        <v>0</v>
      </c>
      <c r="W180" s="254">
        <v>0</v>
      </c>
      <c r="X180" s="255">
        <v>0</v>
      </c>
      <c r="Y180" s="193"/>
      <c r="Z180" s="254">
        <f>L180*S178+M180*S179+N180*S180+O180*S181+P180*S182+Q180*S183</f>
        <v>80169600</v>
      </c>
      <c r="AA180" s="254">
        <f>L180*T178+M180*T179+N180*T180+O180*T181+P180*T182+Q180*T183</f>
        <v>0</v>
      </c>
      <c r="AB180" s="254">
        <f>L180*U178+M180*U179+N180*U180+O180*U181+P180*U182+Q180*U183</f>
        <v>5344640000</v>
      </c>
      <c r="AC180" s="254">
        <f>L180*V178+M180*V179+N180*V180+O180*V181+P180*V182+Q180*V183</f>
        <v>-80169600</v>
      </c>
      <c r="AD180" s="254">
        <f>L180*W178+M180*W179+N180*W180+O180*W181+P180*W182+Q180*W183</f>
        <v>0</v>
      </c>
      <c r="AE180" s="255">
        <f>L180*X178+M180*X179+N180*X180+O180*X181+P180*X182+Q180*X183</f>
        <v>2672320000</v>
      </c>
      <c r="AF180" s="193"/>
      <c r="AG180" s="257">
        <f t="shared" si="58"/>
        <v>-1.3395295144520527E-3</v>
      </c>
      <c r="AH180" s="257"/>
      <c r="AI180" s="257">
        <f>Z180*AG178+AA180*AG179+AB180*AG180+AC180*AG181+AD180*AG182+AE180*AG183</f>
        <v>254937.91387855262</v>
      </c>
      <c r="AK180" s="296" t="s">
        <v>369</v>
      </c>
      <c r="AL180" s="293">
        <f>ABS((Z180*AG178+AA180*AG179+AB180*AG180+AC180*AG181+AD180*AG182+AE180*AG183)*($B$8+0.5*B24)/(2*((($B$7*($B$8)^3)/12)+($B$7*$B$8)*(B24+2*$B$8-0.5*$B$8-($B$8+0.5*B24))^2)+($B$9*(B24)^3)/12))</f>
        <v>88.149111043506252</v>
      </c>
      <c r="AM180" s="294" t="str">
        <f t="shared" si="59"/>
        <v>&lt;</v>
      </c>
      <c r="AN180" s="295">
        <f>$J$28</f>
        <v>1440</v>
      </c>
      <c r="AO180" s="298" t="s">
        <v>373</v>
      </c>
      <c r="AP180" s="305">
        <f>((ABS((Z178*AG178+AA178*AG179+AB178*AG180+AC178*AG181+AD178*AG182+AE178*AG183)/((2*$B$7*$B$8)+($B$9*B24))))/$F$28)+((ABS((Z180*AG178+AA180*AG179+AB180*AG180+AC180*AG181+AD180*AG182+AE180*AG183)*($B$8+0.5*B24)/(2*((($B$7*($B$8)^3)/12)+($B$7*$B$8)*(B24+2*$B$8-0.5*$B$8-($B$8+0.5*B24))^2)+($B$9*(B24)^3)/12)))/$J$28)</f>
        <v>6.6205979891326608E-2</v>
      </c>
      <c r="AQ180" s="294" t="str">
        <f t="shared" si="60"/>
        <v>&lt;</v>
      </c>
      <c r="AR180" s="295">
        <v>1</v>
      </c>
      <c r="AX180">
        <f t="shared" si="61"/>
        <v>45</v>
      </c>
      <c r="AY180">
        <f>AX180*1000+AY177</f>
        <v>45043</v>
      </c>
      <c r="AZ180">
        <f>AX180*1000+AZ177</f>
        <v>45044</v>
      </c>
      <c r="BA180">
        <f>AX180*1000+BA177</f>
        <v>45045</v>
      </c>
      <c r="BB180">
        <f>AX180*1000+BB177</f>
        <v>45046</v>
      </c>
      <c r="BC180">
        <f>AX180*1000+BC177</f>
        <v>45047</v>
      </c>
      <c r="BD180">
        <f>AX180*1000+BD177</f>
        <v>45048</v>
      </c>
    </row>
    <row r="181" spans="1:56" ht="16.5" thickBot="1" x14ac:dyDescent="0.3">
      <c r="A181" s="249">
        <f>-(F176*B175^2+J176*B176^2)</f>
        <v>-1603392</v>
      </c>
      <c r="B181" s="245">
        <f>-(F176-J176)*B175*B176</f>
        <v>0</v>
      </c>
      <c r="C181" s="245">
        <f>J175*B176</f>
        <v>-80169600</v>
      </c>
      <c r="D181" s="258">
        <f>(F176*B175^2+J176*B176^2)</f>
        <v>1603392</v>
      </c>
      <c r="E181" s="245">
        <f>(F176-J176)*B175*B176</f>
        <v>0</v>
      </c>
      <c r="F181" s="245">
        <f>J175*B176</f>
        <v>-80169600</v>
      </c>
      <c r="G181" s="245">
        <v>46</v>
      </c>
      <c r="H181" s="246"/>
      <c r="I181" s="246"/>
      <c r="J181" s="253"/>
      <c r="K181" s="193"/>
      <c r="L181" s="254">
        <f>-F176</f>
        <v>-4200000</v>
      </c>
      <c r="M181" s="254">
        <v>0</v>
      </c>
      <c r="N181" s="254">
        <v>0</v>
      </c>
      <c r="O181" s="254">
        <f>F176</f>
        <v>4200000</v>
      </c>
      <c r="P181" s="254">
        <v>0</v>
      </c>
      <c r="Q181" s="255">
        <v>0</v>
      </c>
      <c r="R181" s="259" t="s">
        <v>287</v>
      </c>
      <c r="S181" s="256">
        <v>0</v>
      </c>
      <c r="T181" s="254">
        <v>0</v>
      </c>
      <c r="U181" s="254">
        <v>0</v>
      </c>
      <c r="V181" s="254">
        <f>B175</f>
        <v>0</v>
      </c>
      <c r="W181" s="254">
        <f>B176</f>
        <v>-1</v>
      </c>
      <c r="X181" s="255">
        <v>0</v>
      </c>
      <c r="Y181" s="260" t="s">
        <v>127</v>
      </c>
      <c r="Z181" s="254">
        <f>L181*S178+M181*S179+N181*S180+O181*S181+P181*S182+Q181*S183</f>
        <v>0</v>
      </c>
      <c r="AA181" s="254">
        <f>L181*T178+M181*T179+N181*T180+O181*T181+P181*T182+Q181*T183</f>
        <v>4200000</v>
      </c>
      <c r="AB181" s="254">
        <f>L181*U178+M181*U179+N181*U180+O181*U181+P181*U182+Q181*U183</f>
        <v>0</v>
      </c>
      <c r="AC181" s="254">
        <f>L181*V178+M181*V179+N181*V180+O181*V181+P181*V182+Q181*V183</f>
        <v>0</v>
      </c>
      <c r="AD181" s="254">
        <f>L181*W178+M181*W179+N181*W180+O181*W181+P181*W182+Q181*W183</f>
        <v>-4200000</v>
      </c>
      <c r="AE181" s="255">
        <f>L181*X178+M181*X179+N181*X180+O181*X181+P181*X182+Q181*X183</f>
        <v>0</v>
      </c>
      <c r="AF181" s="259" t="s">
        <v>287</v>
      </c>
      <c r="AG181" s="257">
        <f t="shared" si="58"/>
        <v>0.15400114993873107</v>
      </c>
      <c r="AH181" s="259" t="s">
        <v>127</v>
      </c>
      <c r="AI181" s="257">
        <f>Z181*AG178+AA181*AG179+AB181*AG180+AC181*AG181+AD181*AG182+AE181*AG183</f>
        <v>-1437.5000000008117</v>
      </c>
      <c r="AK181" s="296" t="s">
        <v>370</v>
      </c>
      <c r="AL181" s="293">
        <f>ABS((Z181*AG178+AA181*AG179+AB181*AG180+AC181*AG181+AD181*AG182+AE181*AG183)/((2*$B$7*$B$8)+($B$9*B24)))</f>
        <v>7.187500000004059</v>
      </c>
      <c r="AM181" s="294" t="str">
        <f t="shared" si="59"/>
        <v>&lt;</v>
      </c>
      <c r="AN181" s="295">
        <f>$F$28</f>
        <v>1440</v>
      </c>
      <c r="AO181" s="298" t="s">
        <v>378</v>
      </c>
      <c r="AP181" s="295">
        <f>(B24)/$B$9</f>
        <v>20</v>
      </c>
      <c r="AQ181" s="294" t="str">
        <f t="shared" si="60"/>
        <v>&lt;</v>
      </c>
      <c r="AR181" s="295">
        <f>6370/($J$28)^0.5</f>
        <v>167.86423912727147</v>
      </c>
      <c r="AX181">
        <f t="shared" si="61"/>
        <v>46</v>
      </c>
      <c r="AY181">
        <f>AX181*1000+AY177</f>
        <v>46043</v>
      </c>
      <c r="AZ181">
        <f>AX181*1000+AZ177</f>
        <v>46044</v>
      </c>
      <c r="BA181">
        <f>AX181*1000+BA177</f>
        <v>46045</v>
      </c>
      <c r="BB181">
        <f>AX181*1000+BB177</f>
        <v>46046</v>
      </c>
      <c r="BC181">
        <f>AX181*1000+BC177</f>
        <v>46047</v>
      </c>
      <c r="BD181">
        <f>AX181*1000+BD177</f>
        <v>46048</v>
      </c>
    </row>
    <row r="182" spans="1:56" ht="15.75" thickBot="1" x14ac:dyDescent="0.3">
      <c r="A182" s="249">
        <f>-(F176-J176)*B175*B176</f>
        <v>0</v>
      </c>
      <c r="B182" s="245">
        <f>-(F176*B176^2+J176*B175^2)</f>
        <v>-4200000</v>
      </c>
      <c r="C182" s="245">
        <f>-J175*B175</f>
        <v>0</v>
      </c>
      <c r="D182" s="245">
        <f>(F176-J176)*B175*B176</f>
        <v>0</v>
      </c>
      <c r="E182" s="258">
        <f>(F176*B176^2+J176*B175^2)</f>
        <v>4200000</v>
      </c>
      <c r="F182" s="245">
        <f>-J175*B175</f>
        <v>0</v>
      </c>
      <c r="G182" s="245">
        <v>47</v>
      </c>
      <c r="H182" s="246"/>
      <c r="I182" s="246"/>
      <c r="J182" s="253"/>
      <c r="K182" s="193"/>
      <c r="L182" s="254">
        <v>0</v>
      </c>
      <c r="M182" s="254">
        <f>-J176</f>
        <v>-1603392</v>
      </c>
      <c r="N182" s="254">
        <f>-J175</f>
        <v>-80169600</v>
      </c>
      <c r="O182" s="254">
        <v>0</v>
      </c>
      <c r="P182" s="254">
        <f>J176</f>
        <v>1603392</v>
      </c>
      <c r="Q182" s="255">
        <f>-J175</f>
        <v>-80169600</v>
      </c>
      <c r="R182" s="193"/>
      <c r="S182" s="256">
        <v>0</v>
      </c>
      <c r="T182" s="254">
        <v>0</v>
      </c>
      <c r="U182" s="254">
        <v>0</v>
      </c>
      <c r="V182" s="254">
        <f>-B176</f>
        <v>1</v>
      </c>
      <c r="W182" s="254">
        <f>B175</f>
        <v>0</v>
      </c>
      <c r="X182" s="255">
        <v>0</v>
      </c>
      <c r="Y182" s="193"/>
      <c r="Z182" s="254">
        <f>L182*S178+M182*S179+N182*S180+O182*S181+P182*S182+Q182*S183</f>
        <v>-1603392</v>
      </c>
      <c r="AA182" s="254">
        <f>L182*T178+M182*T179+N182*T180+O182*T181+P182*T182+Q182*T183</f>
        <v>0</v>
      </c>
      <c r="AB182" s="254">
        <f>L182*U178+M182*U179+N182*U180+O182*U181+P182*U182+Q182*U183</f>
        <v>-80169600</v>
      </c>
      <c r="AC182" s="254">
        <f>L182*V178+M182*V179+N182*V180+O182*V181+P182*V182+Q182*V183</f>
        <v>1603392</v>
      </c>
      <c r="AD182" s="254">
        <f>L182*W178+M182*W179+N182*W180+O182*W181+P182*W182+Q182*W183</f>
        <v>0</v>
      </c>
      <c r="AE182" s="255">
        <f>L182*X178+M182*X179+N182*X180+O182*X181+P182*X182+Q182*X183</f>
        <v>-80169600</v>
      </c>
      <c r="AF182" s="193"/>
      <c r="AG182" s="257">
        <f t="shared" si="58"/>
        <v>-3.8029100529121988E-4</v>
      </c>
      <c r="AH182" s="257"/>
      <c r="AI182" s="257">
        <f>Z182*AG178+AA182*AG179+AB182*AG180+AC182*AG181+AD182*AG182+AE182*AG183</f>
        <v>-1274.6895693928091</v>
      </c>
      <c r="AK182" s="296" t="s">
        <v>371</v>
      </c>
      <c r="AL182" s="293">
        <f>ABS((Z182*AG178+AA182*AG179+AB182*AG180+AC182*AG181+AD182*AG182+AE182*AG183)/((2*$B$7*$B$8)+($B$9*B24)))</f>
        <v>6.3734478469640452</v>
      </c>
      <c r="AM182" s="294" t="str">
        <f t="shared" si="59"/>
        <v>&lt;</v>
      </c>
      <c r="AN182" s="295">
        <f>$H$28</f>
        <v>960</v>
      </c>
      <c r="AO182" s="298" t="s">
        <v>374</v>
      </c>
      <c r="AP182" s="295">
        <f>((ABS((Z182*AG178+AA182*AG179+AB182*AG180+AC182*AG181+AD182*AG182+AE182*AG183)/((2*$B$7*$B$8)+($B$9*B24))))/$H$28)</f>
        <v>6.6390081739208804E-3</v>
      </c>
      <c r="AQ182" s="294" t="str">
        <f t="shared" si="60"/>
        <v>&lt;</v>
      </c>
      <c r="AR182" s="295">
        <v>1</v>
      </c>
      <c r="AX182">
        <f t="shared" si="61"/>
        <v>47</v>
      </c>
      <c r="AY182">
        <f>AX182*1000+AY177</f>
        <v>47043</v>
      </c>
      <c r="AZ182">
        <f>AX182*1000+AZ177</f>
        <v>47044</v>
      </c>
      <c r="BA182">
        <f>AX182*1000+BA177</f>
        <v>47045</v>
      </c>
      <c r="BB182">
        <f>AX182*1000+BB177</f>
        <v>47046</v>
      </c>
      <c r="BC182">
        <f>AX182*1000+BC177</f>
        <v>47047</v>
      </c>
      <c r="BD182">
        <f>AX182*1000+BD177</f>
        <v>47048</v>
      </c>
    </row>
    <row r="183" spans="1:56" ht="15.75" thickBot="1" x14ac:dyDescent="0.3">
      <c r="A183" s="261">
        <f>-J175*B176</f>
        <v>80169600</v>
      </c>
      <c r="B183" s="262">
        <f>J175*B175</f>
        <v>0</v>
      </c>
      <c r="C183" s="262">
        <f>H176</f>
        <v>2672320000</v>
      </c>
      <c r="D183" s="262">
        <f>J175*B176</f>
        <v>-80169600</v>
      </c>
      <c r="E183" s="262">
        <f>-J175*B175</f>
        <v>0</v>
      </c>
      <c r="F183" s="263">
        <f>H175</f>
        <v>5344640000</v>
      </c>
      <c r="G183" s="262">
        <v>48</v>
      </c>
      <c r="H183" s="264"/>
      <c r="I183" s="264"/>
      <c r="J183" s="265"/>
      <c r="K183" s="193"/>
      <c r="L183" s="254">
        <v>0</v>
      </c>
      <c r="M183" s="254">
        <f>J175</f>
        <v>80169600</v>
      </c>
      <c r="N183" s="254">
        <f>H176</f>
        <v>2672320000</v>
      </c>
      <c r="O183" s="254">
        <v>0</v>
      </c>
      <c r="P183" s="254">
        <f>-J175</f>
        <v>-80169600</v>
      </c>
      <c r="Q183" s="255">
        <f>H175</f>
        <v>5344640000</v>
      </c>
      <c r="R183" s="193"/>
      <c r="S183" s="256">
        <v>0</v>
      </c>
      <c r="T183" s="254">
        <v>0</v>
      </c>
      <c r="U183" s="254">
        <v>0</v>
      </c>
      <c r="V183" s="254">
        <v>0</v>
      </c>
      <c r="W183" s="254">
        <v>0</v>
      </c>
      <c r="X183" s="255">
        <v>1</v>
      </c>
      <c r="Y183" s="193"/>
      <c r="Z183" s="254">
        <f>L183*S178+M183*S179+N183*S180+O183*S181+P183*S182+Q183*S183</f>
        <v>80169600</v>
      </c>
      <c r="AA183" s="254">
        <f>L183*T178+M183*T179+N183*T180+O183*T181+P183*T182+Q183*T183</f>
        <v>0</v>
      </c>
      <c r="AB183" s="254">
        <f>L183*U178+M183*U179+N183*U180+O183*U181+P183*U182+Q183*U183</f>
        <v>2672320000</v>
      </c>
      <c r="AC183" s="254">
        <f>L183*V178+M183*V179+N183*V180+O183*V181+P183*V182+Q183*V183</f>
        <v>-80169600</v>
      </c>
      <c r="AD183" s="254">
        <f>L183*W178+M183*W179+N183*W180+O183*W181+P183*W182+Q183*W183</f>
        <v>0</v>
      </c>
      <c r="AE183" s="255">
        <f>L183*X178+M183*X179+N183*X180+O183*X181+P183*X182+Q183*X183</f>
        <v>5344640000</v>
      </c>
      <c r="AF183" s="193"/>
      <c r="AG183" s="257">
        <f t="shared" si="58"/>
        <v>-1.4826287206915103E-3</v>
      </c>
      <c r="AH183" s="257"/>
      <c r="AI183" s="257">
        <f>Z183*AG178+AA183*AG179+AB183*AG180+AC183*AG181+AD183*AG182+AE183*AG183</f>
        <v>-127468.95693927258</v>
      </c>
      <c r="AK183" s="296" t="s">
        <v>372</v>
      </c>
      <c r="AL183" s="293">
        <f>ABS((Z183*AG178+AA183*AG179+AB183*AG180+AC183*AG181+AD183*AG182+AE183*AG183)*($B$8+0.5*B24)/(2*((($B$7*($B$8)^3)/12)+($B$7*$B$8)*(B24+2*$B$8-0.5*$B$8-($B$8+0.5*B24))^2)+($B$9*(B24)^3)/12))</f>
        <v>44.07455552175184</v>
      </c>
      <c r="AM183" s="294" t="str">
        <f t="shared" si="59"/>
        <v>&lt;</v>
      </c>
      <c r="AN183" s="295">
        <f>$J$28</f>
        <v>1440</v>
      </c>
      <c r="AO183" s="298" t="s">
        <v>373</v>
      </c>
      <c r="AP183" s="305">
        <f>((ABS((Z181*AG178+AA181*AG179+AB181*AG180+AC181*AG181+AD181*AG182+AE181*AG183)/((2*$B$7*$B$8)+($B$9*B24))))/$F$28)+((ABS((Z183*AG178+AA183*AG179+AB183*AG180+AC183*AG181+AD183*AG182+AE183*AG183)*($B$8+0.5*B24)/(2*((($B$7*($B$8)^3)/12)+($B$7*$B$8)*(B24+2*$B$8-0.5*$B$8-($B$8+0.5*B24))^2)+($B$9*(B24)^3)/12)))/$J$28)</f>
        <v>3.5598649667886041E-2</v>
      </c>
      <c r="AQ183" s="294" t="str">
        <f t="shared" si="60"/>
        <v>&lt;</v>
      </c>
      <c r="AR183" s="295">
        <v>1</v>
      </c>
      <c r="AX183">
        <f t="shared" si="61"/>
        <v>48</v>
      </c>
      <c r="AY183">
        <f>AX183*1000+AY177</f>
        <v>48043</v>
      </c>
      <c r="AZ183">
        <f>AX183*1000+AZ177</f>
        <v>48044</v>
      </c>
      <c r="BA183">
        <f>AX183*1000+BA177</f>
        <v>48045</v>
      </c>
      <c r="BB183">
        <f>AX183*1000+BB177</f>
        <v>48046</v>
      </c>
      <c r="BC183">
        <f>AX183*1000+BC177</f>
        <v>48047</v>
      </c>
      <c r="BD183">
        <f>AX183*1000+BD177</f>
        <v>48048</v>
      </c>
    </row>
    <row r="184" spans="1:56" x14ac:dyDescent="0.25">
      <c r="A184" s="239" t="s">
        <v>279</v>
      </c>
      <c r="B184" s="240">
        <f>(D47-B47)/F47</f>
        <v>0</v>
      </c>
      <c r="C184" s="241" t="s">
        <v>280</v>
      </c>
      <c r="D184" s="240">
        <f>$B$8+0.5*B25</f>
        <v>17</v>
      </c>
      <c r="E184" s="241" t="s">
        <v>30</v>
      </c>
      <c r="F184" s="242">
        <f>2*((($B$7*($B$8)^3)/12)+($B$7*$B$8)*(B25+2*$B$8-0.5*$B$8-($B$8+0.5*B25))^2)+($B$9*(B25)^3)/12</f>
        <v>35260</v>
      </c>
      <c r="G184" s="241" t="s">
        <v>281</v>
      </c>
      <c r="H184" s="241">
        <f>4*$B$28*(2*((($B$7*($B$8)^3)/12)+($B$7*$B$8)*(B25+2*$B$8-0.5*$B$8-($B$8+0.5*B25))^2)+($B$9*(B25)^3)/12)/F47</f>
        <v>2961840000</v>
      </c>
      <c r="I184" s="241" t="s">
        <v>282</v>
      </c>
      <c r="J184" s="243">
        <f>6*$B$28*(2*((($B$7*($B$8)^3)/12)+($B$7*$B$8)*(B25+2*$B$8-0.5*$B$8-($B$8+0.5*B25))^2)+($B$9*(B25)^3)/12)/(F47^2)</f>
        <v>44427600</v>
      </c>
    </row>
    <row r="185" spans="1:56" x14ac:dyDescent="0.25">
      <c r="A185" s="244" t="s">
        <v>283</v>
      </c>
      <c r="B185" s="245">
        <f>(E47-C47)/F47</f>
        <v>-1</v>
      </c>
      <c r="C185" s="246" t="s">
        <v>13</v>
      </c>
      <c r="D185" s="247">
        <f>(2*$B$7*$B$8)+($B$9*B25)</f>
        <v>180</v>
      </c>
      <c r="E185" s="246" t="s">
        <v>284</v>
      </c>
      <c r="F185" s="246">
        <f>$B$28*((2*$B$7*$B$8)+($B$9*B25))/F47</f>
        <v>3780000</v>
      </c>
      <c r="G185" s="246" t="s">
        <v>285</v>
      </c>
      <c r="H185" s="246">
        <f>2*$B$28*(2*((($B$7*($B$8)^3)/12)+($B$7*$B$8)*(B25+2*$B$8-0.5*$B$8-($B$8+0.5*B25))^2)+($B$9*(B25)^3)/12)/F47</f>
        <v>1480920000</v>
      </c>
      <c r="I185" s="246" t="s">
        <v>286</v>
      </c>
      <c r="J185" s="248">
        <f>12*$B$28*(2*((($B$7*($B$8)^3)/12)+($B$7*$B$8)*(B25+2*$B$8-0.5*$B$8-($B$8+0.5*B25))^2)+($B$9*(B25)^3)/12)/(F47^3)</f>
        <v>888552</v>
      </c>
    </row>
    <row r="186" spans="1:56" ht="15.75" thickBot="1" x14ac:dyDescent="0.3">
      <c r="A186" s="249">
        <f>G187</f>
        <v>46</v>
      </c>
      <c r="B186" s="245">
        <f>G188</f>
        <v>47</v>
      </c>
      <c r="C186" s="245">
        <f>G189</f>
        <v>48</v>
      </c>
      <c r="D186" s="245">
        <f>G190</f>
        <v>49</v>
      </c>
      <c r="E186" s="245">
        <f>G191</f>
        <v>50</v>
      </c>
      <c r="F186" s="245">
        <f>G192</f>
        <v>51</v>
      </c>
      <c r="G186" s="250"/>
      <c r="H186" s="246"/>
      <c r="I186" s="246"/>
      <c r="J186" s="251">
        <v>16</v>
      </c>
      <c r="AY186">
        <f>AX187</f>
        <v>46</v>
      </c>
      <c r="AZ186">
        <f>AX188</f>
        <v>47</v>
      </c>
      <c r="BA186">
        <f>AX189</f>
        <v>48</v>
      </c>
      <c r="BB186">
        <f>AX190</f>
        <v>49</v>
      </c>
      <c r="BC186">
        <f>AX191</f>
        <v>50</v>
      </c>
      <c r="BD186">
        <f>AX192</f>
        <v>51</v>
      </c>
    </row>
    <row r="187" spans="1:56" ht="15.75" thickBot="1" x14ac:dyDescent="0.3">
      <c r="A187" s="252">
        <f>(F185*B184^2+J185*B185^2)</f>
        <v>888552</v>
      </c>
      <c r="B187" s="245">
        <f>(F185-J185)*B184*B185</f>
        <v>0</v>
      </c>
      <c r="C187" s="245">
        <f>-J184*B185</f>
        <v>44427600</v>
      </c>
      <c r="D187" s="245">
        <f>-(F185*B184^2+J185*B185^2)</f>
        <v>-888552</v>
      </c>
      <c r="E187" s="245">
        <f>-(F185-J185)*B184*B185</f>
        <v>0</v>
      </c>
      <c r="F187" s="245">
        <f>-J184*B185</f>
        <v>44427600</v>
      </c>
      <c r="G187" s="245">
        <v>46</v>
      </c>
      <c r="H187" s="246"/>
      <c r="I187" s="250"/>
      <c r="J187" s="253"/>
      <c r="K187" s="193"/>
      <c r="L187" s="254">
        <f>F185</f>
        <v>3780000</v>
      </c>
      <c r="M187" s="254">
        <v>0</v>
      </c>
      <c r="N187" s="254">
        <v>0</v>
      </c>
      <c r="O187" s="254">
        <f>-F185</f>
        <v>-3780000</v>
      </c>
      <c r="P187" s="254">
        <v>0</v>
      </c>
      <c r="Q187" s="255">
        <v>0</v>
      </c>
      <c r="R187" s="193"/>
      <c r="S187" s="256">
        <f>B184</f>
        <v>0</v>
      </c>
      <c r="T187" s="254">
        <f>B185</f>
        <v>-1</v>
      </c>
      <c r="U187" s="254">
        <v>0</v>
      </c>
      <c r="V187" s="254">
        <v>0</v>
      </c>
      <c r="W187" s="254">
        <v>0</v>
      </c>
      <c r="X187" s="255">
        <v>0</v>
      </c>
      <c r="Y187" s="193"/>
      <c r="Z187" s="254">
        <f>L187*S187+M187*S188+N187*S189+O187*S190+P187*S191+Q187*S192</f>
        <v>0</v>
      </c>
      <c r="AA187" s="254">
        <f>L187*T187+M187*T188+N187*T189+O187*T190+P187*T191+Q187*T192</f>
        <v>-3780000</v>
      </c>
      <c r="AB187" s="254">
        <f>L187*U187+M187*U188+N187*U189+O187*U190+P187*U191+Q187*U192</f>
        <v>0</v>
      </c>
      <c r="AC187" s="254">
        <f>L187*V187+M187*V188+N187*V189+O187*V190+P187*V191+Q187*V192</f>
        <v>0</v>
      </c>
      <c r="AD187" s="254">
        <f>L187*W187+M187*W188+N187*W189+O187*W190+P187*W191+Q187*W192</f>
        <v>3780000</v>
      </c>
      <c r="AE187" s="255">
        <f>L187*X187+M187*X188+N187*X189+O187*X190+P187*X191+Q187*X192</f>
        <v>0</v>
      </c>
      <c r="AF187" s="193"/>
      <c r="AG187" s="257">
        <f>O12</f>
        <v>0.15400114993873107</v>
      </c>
      <c r="AH187" s="257"/>
      <c r="AI187" s="257">
        <f>Z187*AG187+AA187*AG188+AB187*AG189+AC187*AG190+AD187*AG191+AE187*AG192</f>
        <v>1437.500000000811</v>
      </c>
      <c r="AK187" s="296" t="s">
        <v>367</v>
      </c>
      <c r="AL187" s="293">
        <f>ABS((Z187*AG187+AA187*AG188+AB187*AG189+AC187*AG190+AD187*AG191+AE187*AG192)/((2*$B$7*$B$8)+($B$9*B25)))</f>
        <v>7.9861111111156173</v>
      </c>
      <c r="AM187" s="294" t="str">
        <f t="shared" ref="AM187:AM192" si="62">IF(AL187&gt;AN187,"&gt;",IF(AL187&lt;AN187,"&lt;",))</f>
        <v>&lt;</v>
      </c>
      <c r="AN187" s="295">
        <f>$F$28</f>
        <v>1440</v>
      </c>
      <c r="AO187" s="298" t="s">
        <v>379</v>
      </c>
      <c r="AP187" s="295">
        <f>(ABS((Z187*AG187+AA187*AG188+AB187*AG189+AC187*AG190+AD187*AG191+AE187*AG192)/((2*$B$7*$B$8)+($B$9*B25))))/$F$28</f>
        <v>5.5459104938302894E-3</v>
      </c>
      <c r="AQ187" s="294" t="str">
        <f t="shared" ref="AQ187:AQ192" si="63">IF(AP187&gt;AR187,"&gt;",IF(AP187&lt;AR187,"&lt;",))</f>
        <v>&lt;</v>
      </c>
      <c r="AR187" s="295">
        <v>0.15</v>
      </c>
      <c r="AX187">
        <f t="shared" ref="AX187:AX192" si="64">G187</f>
        <v>46</v>
      </c>
      <c r="AY187">
        <f>AX187*1000+AY186</f>
        <v>46046</v>
      </c>
      <c r="AZ187">
        <f>AX187*1000+AZ186</f>
        <v>46047</v>
      </c>
      <c r="BA187">
        <f>AX187*1000+BA186</f>
        <v>46048</v>
      </c>
      <c r="BB187">
        <f>AX187*1000+BB186</f>
        <v>46049</v>
      </c>
      <c r="BC187">
        <f>AX187*1000+BC186</f>
        <v>46050</v>
      </c>
      <c r="BD187">
        <f>AX187*1000+BD186</f>
        <v>46051</v>
      </c>
    </row>
    <row r="188" spans="1:56" ht="15.75" thickBot="1" x14ac:dyDescent="0.3">
      <c r="A188" s="249">
        <f>(F185-J185)*B184*B185</f>
        <v>0</v>
      </c>
      <c r="B188" s="258">
        <f>(F185*B185^2+J185*B184^2)</f>
        <v>3780000</v>
      </c>
      <c r="C188" s="245">
        <f>J184*B184</f>
        <v>0</v>
      </c>
      <c r="D188" s="245">
        <f>-(F185-J185)*B184*B185</f>
        <v>0</v>
      </c>
      <c r="E188" s="245">
        <f>-(F185*B185^2+J185*B184^2)</f>
        <v>-3780000</v>
      </c>
      <c r="F188" s="245">
        <f>J184*B184</f>
        <v>0</v>
      </c>
      <c r="G188" s="245">
        <v>47</v>
      </c>
      <c r="H188" s="246"/>
      <c r="I188" s="246"/>
      <c r="J188" s="253"/>
      <c r="K188" s="193"/>
      <c r="L188" s="254">
        <v>0</v>
      </c>
      <c r="M188" s="254">
        <f>J185</f>
        <v>888552</v>
      </c>
      <c r="N188" s="254">
        <f>J184</f>
        <v>44427600</v>
      </c>
      <c r="O188" s="254">
        <v>0</v>
      </c>
      <c r="P188" s="254">
        <f>-J185</f>
        <v>-888552</v>
      </c>
      <c r="Q188" s="255">
        <f>J184</f>
        <v>44427600</v>
      </c>
      <c r="R188" s="193"/>
      <c r="S188" s="256">
        <f>-B185</f>
        <v>1</v>
      </c>
      <c r="T188" s="254">
        <f>B184</f>
        <v>0</v>
      </c>
      <c r="U188" s="254">
        <v>0</v>
      </c>
      <c r="V188" s="254">
        <v>0</v>
      </c>
      <c r="W188" s="254">
        <v>0</v>
      </c>
      <c r="X188" s="255">
        <v>0</v>
      </c>
      <c r="Y188" s="193"/>
      <c r="Z188" s="254">
        <f>L188*S187+M188*S188+N188*S189+O188*S190+P188*S191+Q188*S192</f>
        <v>888552</v>
      </c>
      <c r="AA188" s="254">
        <f>L188*T187+M188*T188+N188*T189+O188*T190+P188*T191+Q188*T192</f>
        <v>0</v>
      </c>
      <c r="AB188" s="254">
        <f>L188*U187+M188*U188+N188*U189+O188*U190+P188*U191+Q188*U192</f>
        <v>44427600</v>
      </c>
      <c r="AC188" s="254">
        <f>L188*V187+M188*V188+N188*V189+O188*V190+P188*V191+Q188*V192</f>
        <v>-888552</v>
      </c>
      <c r="AD188" s="254">
        <f>L188*W187+M188*W188+N188*W189+O188*W190+P188*W191+Q188*W192</f>
        <v>0</v>
      </c>
      <c r="AE188" s="255">
        <f>L188*X187+M188*X188+N188*X189+O188*X190+P188*X191+Q188*X192</f>
        <v>44427600</v>
      </c>
      <c r="AF188" s="193"/>
      <c r="AG188" s="257">
        <f>O13</f>
        <v>-3.8029100529121988E-4</v>
      </c>
      <c r="AH188" s="257"/>
      <c r="AI188" s="257">
        <f>Z188*AG187+AA188*AG188+AB188*AG189+AC188*AG190+AD188*AG191+AE188*AG192</f>
        <v>1274.6895693927218</v>
      </c>
      <c r="AK188" s="296" t="s">
        <v>368</v>
      </c>
      <c r="AL188" s="293">
        <f>ABS((Z188*AG187+AA188*AG188+AB188*AG189+AC188*AG190+AD188*AG191+AE188*AG192)/((2*$B$7*$B$8)+($B$9*B25)))</f>
        <v>7.0816087188484538</v>
      </c>
      <c r="AM188" s="294" t="str">
        <f t="shared" si="62"/>
        <v>&lt;</v>
      </c>
      <c r="AN188" s="295">
        <f>$H$28</f>
        <v>960</v>
      </c>
      <c r="AO188" s="298" t="s">
        <v>374</v>
      </c>
      <c r="AP188" s="295">
        <f>((ABS((Z188*AG187+AA188*AG188+AB188*AG189+AC188*AG190+AD188*AG191+AE188*AG192)/((2*$B$7*$B$8)+($B$9*B25))))/$H$28)</f>
        <v>7.3766757488004731E-3</v>
      </c>
      <c r="AQ188" s="294" t="str">
        <f t="shared" si="63"/>
        <v>&lt;</v>
      </c>
      <c r="AR188" s="295">
        <v>1</v>
      </c>
      <c r="AX188">
        <f t="shared" si="64"/>
        <v>47</v>
      </c>
      <c r="AY188">
        <f>AX188*1000+AY186</f>
        <v>47046</v>
      </c>
      <c r="AZ188">
        <f>AX188*1000+AZ186</f>
        <v>47047</v>
      </c>
      <c r="BA188">
        <f>AX188*1000+BA186</f>
        <v>47048</v>
      </c>
      <c r="BB188">
        <f>AX188*1000+BB186</f>
        <v>47049</v>
      </c>
      <c r="BC188">
        <f>AX188*1000+BC186</f>
        <v>47050</v>
      </c>
      <c r="BD188">
        <f>AX188*1000+BD186</f>
        <v>47051</v>
      </c>
    </row>
    <row r="189" spans="1:56" ht="15.75" thickBot="1" x14ac:dyDescent="0.3">
      <c r="A189" s="249">
        <f>-J184*B185</f>
        <v>44427600</v>
      </c>
      <c r="B189" s="245">
        <f>J184*B184</f>
        <v>0</v>
      </c>
      <c r="C189" s="258">
        <f>H184</f>
        <v>2961840000</v>
      </c>
      <c r="D189" s="245">
        <f>J184*B185</f>
        <v>-44427600</v>
      </c>
      <c r="E189" s="245">
        <f>-J184*B184</f>
        <v>0</v>
      </c>
      <c r="F189" s="245">
        <f>H185</f>
        <v>1480920000</v>
      </c>
      <c r="G189" s="245">
        <v>48</v>
      </c>
      <c r="H189" s="246"/>
      <c r="I189" s="246"/>
      <c r="J189" s="253"/>
      <c r="K189" s="193"/>
      <c r="L189" s="254">
        <v>0</v>
      </c>
      <c r="M189" s="254">
        <f>J184</f>
        <v>44427600</v>
      </c>
      <c r="N189" s="254">
        <f>H184</f>
        <v>2961840000</v>
      </c>
      <c r="O189" s="254">
        <v>0</v>
      </c>
      <c r="P189" s="254">
        <f>-J184</f>
        <v>-44427600</v>
      </c>
      <c r="Q189" s="255">
        <f>H185</f>
        <v>1480920000</v>
      </c>
      <c r="R189" s="193"/>
      <c r="S189" s="256">
        <v>0</v>
      </c>
      <c r="T189" s="254">
        <v>0</v>
      </c>
      <c r="U189" s="254">
        <v>1</v>
      </c>
      <c r="V189" s="254">
        <v>0</v>
      </c>
      <c r="W189" s="254">
        <v>0</v>
      </c>
      <c r="X189" s="255">
        <v>0</v>
      </c>
      <c r="Y189" s="193"/>
      <c r="Z189" s="254">
        <f>L189*S187+M189*S188+N189*S189+O189*S190+P189*S191+Q189*S192</f>
        <v>44427600</v>
      </c>
      <c r="AA189" s="254">
        <f>L189*T187+M189*T188+N189*T189+O189*T190+P189*T191+Q189*T192</f>
        <v>0</v>
      </c>
      <c r="AB189" s="254">
        <f>L189*U187+M189*U188+N189*U189+O189*U190+P189*U191+Q189*U192</f>
        <v>2961840000</v>
      </c>
      <c r="AC189" s="254">
        <f>L189*V187+M189*V188+N189*V189+O189*V190+P189*V191+Q189*V192</f>
        <v>-44427600</v>
      </c>
      <c r="AD189" s="254">
        <f>L189*W187+M189*W188+N189*W189+O189*W190+P189*W191+Q189*W192</f>
        <v>0</v>
      </c>
      <c r="AE189" s="255">
        <f>L189*X187+M189*X188+N189*X189+O189*X190+P189*X191+Q189*X192</f>
        <v>1480920000</v>
      </c>
      <c r="AF189" s="193"/>
      <c r="AG189" s="257">
        <f>O14</f>
        <v>-1.4826287206915103E-3</v>
      </c>
      <c r="AH189" s="257"/>
      <c r="AI189" s="257">
        <f>Z189*AG187+AA189*AG188+AB189*AG189+AC189*AG190+AD189*AG191+AE189*AG192</f>
        <v>127468.95693927584</v>
      </c>
      <c r="AK189" s="296" t="s">
        <v>369</v>
      </c>
      <c r="AL189" s="293">
        <f>ABS((Z189*AG187+AA189*AG188+AB189*AG189+AC189*AG190+AD189*AG191+AE189*AG192)*($B$8+0.5*B25)/(2*((($B$7*($B$8)^3)/12)+($B$7*$B$8)*(B25+2*$B$8-0.5*$B$8-($B$8+0.5*B25))^2)+($B$9*(B25)^3)/12))</f>
        <v>61.456955983201624</v>
      </c>
      <c r="AM189" s="294" t="str">
        <f t="shared" si="62"/>
        <v>&lt;</v>
      </c>
      <c r="AN189" s="295">
        <f>$J$28</f>
        <v>1440</v>
      </c>
      <c r="AO189" s="298" t="s">
        <v>373</v>
      </c>
      <c r="AP189" s="305">
        <f>((ABS((Z187*AG187+AA187*AG188+AB187*AG189+AC187*AG190+AD187*AG191+AE187*AG192)/((2*$B$7*$B$8)+($B$9*B25))))/$F$28)+((ABS((Z189*AG187+AA189*AG188+AB189*AG189+AC189*AG190+AD189*AG191+AE189*AG192)*($B$8+0.5*B25)/(2*((($B$7*($B$8)^3)/12)+($B$7*$B$8)*(B25+2*$B$8-0.5*$B$8-($B$8+0.5*B25))^2)+($B$9*(B25)^3)/12)))/$J$28)</f>
        <v>4.8224352148831418E-2</v>
      </c>
      <c r="AQ189" s="294" t="str">
        <f t="shared" si="63"/>
        <v>&lt;</v>
      </c>
      <c r="AR189" s="295">
        <v>1</v>
      </c>
      <c r="AX189">
        <f t="shared" si="64"/>
        <v>48</v>
      </c>
      <c r="AY189">
        <f>AX189*1000+AY186</f>
        <v>48046</v>
      </c>
      <c r="AZ189">
        <f>AX189*1000+AZ186</f>
        <v>48047</v>
      </c>
      <c r="BA189">
        <f>AX189*1000+BA186</f>
        <v>48048</v>
      </c>
      <c r="BB189">
        <f>AX189*1000+BB186</f>
        <v>48049</v>
      </c>
      <c r="BC189">
        <f>AX189*1000+BC186</f>
        <v>48050</v>
      </c>
      <c r="BD189">
        <f>AX189*1000+BD186</f>
        <v>48051</v>
      </c>
    </row>
    <row r="190" spans="1:56" ht="16.5" thickBot="1" x14ac:dyDescent="0.3">
      <c r="A190" s="249">
        <f>-(F185*B184^2+J185*B185^2)</f>
        <v>-888552</v>
      </c>
      <c r="B190" s="245">
        <f>-(F185-J185)*B184*B185</f>
        <v>0</v>
      </c>
      <c r="C190" s="245">
        <f>J184*B185</f>
        <v>-44427600</v>
      </c>
      <c r="D190" s="258">
        <f>(F185*B184^2+J185*B185^2)</f>
        <v>888552</v>
      </c>
      <c r="E190" s="245">
        <f>(F185-J185)*B184*B185</f>
        <v>0</v>
      </c>
      <c r="F190" s="245">
        <f>J184*B185</f>
        <v>-44427600</v>
      </c>
      <c r="G190" s="245">
        <v>49</v>
      </c>
      <c r="H190" s="246"/>
      <c r="I190" s="246"/>
      <c r="J190" s="253"/>
      <c r="K190" s="193"/>
      <c r="L190" s="254">
        <f>-F185</f>
        <v>-3780000</v>
      </c>
      <c r="M190" s="254">
        <v>0</v>
      </c>
      <c r="N190" s="254">
        <v>0</v>
      </c>
      <c r="O190" s="254">
        <f>F185</f>
        <v>3780000</v>
      </c>
      <c r="P190" s="254">
        <v>0</v>
      </c>
      <c r="Q190" s="255">
        <v>0</v>
      </c>
      <c r="R190" s="259" t="s">
        <v>287</v>
      </c>
      <c r="S190" s="256">
        <v>0</v>
      </c>
      <c r="T190" s="254">
        <v>0</v>
      </c>
      <c r="U190" s="254">
        <v>0</v>
      </c>
      <c r="V190" s="254">
        <f>B184</f>
        <v>0</v>
      </c>
      <c r="W190" s="254">
        <f>B185</f>
        <v>-1</v>
      </c>
      <c r="X190" s="255">
        <v>0</v>
      </c>
      <c r="Y190" s="260" t="s">
        <v>127</v>
      </c>
      <c r="Z190" s="254">
        <f>L190*S187+M190*S188+N190*S189+O190*S190+P190*S191+Q190*S192</f>
        <v>0</v>
      </c>
      <c r="AA190" s="254">
        <f>L190*T187+M190*T188+N190*T189+O190*T190+P190*T191+Q190*T192</f>
        <v>3780000</v>
      </c>
      <c r="AB190" s="254">
        <f>L190*U187+M190*U188+N190*U189+O190*U190+P190*U191+Q190*U192</f>
        <v>0</v>
      </c>
      <c r="AC190" s="254">
        <f>L190*V187+M190*V188+N190*V189+O190*V190+P190*V191+Q190*V192</f>
        <v>0</v>
      </c>
      <c r="AD190" s="254">
        <f>L190*W187+M190*W188+N190*W189+O190*W190+P190*W191+Q190*W192</f>
        <v>-3780000</v>
      </c>
      <c r="AE190" s="255">
        <f>L190*X187+M190*X188+N190*X189+O190*X190+P190*X191+Q190*X192</f>
        <v>0</v>
      </c>
      <c r="AF190" s="259" t="s">
        <v>287</v>
      </c>
      <c r="AG190" s="257">
        <v>0</v>
      </c>
      <c r="AH190" s="259" t="s">
        <v>127</v>
      </c>
      <c r="AI190" s="257">
        <f>Z190*AG187+AA190*AG188+AB190*AG189+AC190*AG190+AD190*AG191+AE190*AG192</f>
        <v>-1437.500000000811</v>
      </c>
      <c r="AK190" s="296" t="s">
        <v>370</v>
      </c>
      <c r="AL190" s="293">
        <f>ABS((Z190*AG187+AA190*AG188+AB190*AG189+AC190*AG190+AD190*AG191+AE190*AG192)/((2*$B$7*$B$8)+($B$9*B25)))</f>
        <v>7.9861111111156173</v>
      </c>
      <c r="AM190" s="294" t="str">
        <f t="shared" si="62"/>
        <v>&lt;</v>
      </c>
      <c r="AN190" s="295">
        <f>$F$28</f>
        <v>1440</v>
      </c>
      <c r="AO190" s="298" t="s">
        <v>378</v>
      </c>
      <c r="AP190" s="295">
        <f>(B25)/$B$9</f>
        <v>15</v>
      </c>
      <c r="AQ190" s="294" t="str">
        <f t="shared" si="63"/>
        <v>&lt;</v>
      </c>
      <c r="AR190" s="295">
        <f>6370/($J$28)^0.5</f>
        <v>167.86423912727147</v>
      </c>
      <c r="AX190">
        <f t="shared" si="64"/>
        <v>49</v>
      </c>
      <c r="AY190">
        <f>AX190*1000+AY186</f>
        <v>49046</v>
      </c>
      <c r="AZ190">
        <f>AX190*1000+AZ186</f>
        <v>49047</v>
      </c>
      <c r="BA190">
        <f>AX190*1000+BA186</f>
        <v>49048</v>
      </c>
      <c r="BB190">
        <f>AX190*1000+BB186</f>
        <v>49049</v>
      </c>
      <c r="BC190">
        <f>AX190*1000+BC186</f>
        <v>49050</v>
      </c>
      <c r="BD190">
        <f>AX190*1000+BD186</f>
        <v>49051</v>
      </c>
    </row>
    <row r="191" spans="1:56" ht="15.75" thickBot="1" x14ac:dyDescent="0.3">
      <c r="A191" s="249">
        <f>-(F185-J185)*B184*B185</f>
        <v>0</v>
      </c>
      <c r="B191" s="245">
        <f>-(F185*B185^2+J185*B184^2)</f>
        <v>-3780000</v>
      </c>
      <c r="C191" s="245">
        <f>-J184*B184</f>
        <v>0</v>
      </c>
      <c r="D191" s="245">
        <f>(F185-J185)*B184*B185</f>
        <v>0</v>
      </c>
      <c r="E191" s="258">
        <f>(F185*B185^2+J185*B184^2)</f>
        <v>3780000</v>
      </c>
      <c r="F191" s="245">
        <f>-J184*B184</f>
        <v>0</v>
      </c>
      <c r="G191" s="245">
        <v>50</v>
      </c>
      <c r="H191" s="246"/>
      <c r="I191" s="246"/>
      <c r="J191" s="253"/>
      <c r="K191" s="193"/>
      <c r="L191" s="254">
        <v>0</v>
      </c>
      <c r="M191" s="254">
        <f>-J185</f>
        <v>-888552</v>
      </c>
      <c r="N191" s="254">
        <f>-J184</f>
        <v>-44427600</v>
      </c>
      <c r="O191" s="254">
        <v>0</v>
      </c>
      <c r="P191" s="254">
        <f>J185</f>
        <v>888552</v>
      </c>
      <c r="Q191" s="255">
        <f>-J184</f>
        <v>-44427600</v>
      </c>
      <c r="R191" s="193"/>
      <c r="S191" s="256">
        <v>0</v>
      </c>
      <c r="T191" s="254">
        <v>0</v>
      </c>
      <c r="U191" s="254">
        <v>0</v>
      </c>
      <c r="V191" s="254">
        <f>-B185</f>
        <v>1</v>
      </c>
      <c r="W191" s="254">
        <f>B184</f>
        <v>0</v>
      </c>
      <c r="X191" s="255">
        <v>0</v>
      </c>
      <c r="Y191" s="193"/>
      <c r="Z191" s="254">
        <f>L191*S187+M191*S188+N191*S189+O191*S190+P191*S191+Q191*S192</f>
        <v>-888552</v>
      </c>
      <c r="AA191" s="254">
        <f>L191*T187+M191*T188+N191*T189+O191*T190+P191*T191+Q191*T192</f>
        <v>0</v>
      </c>
      <c r="AB191" s="254">
        <f>L191*U187+M191*U188+N191*U189+O191*U190+P191*U191+Q191*U192</f>
        <v>-44427600</v>
      </c>
      <c r="AC191" s="254">
        <f>L191*V187+M191*V188+N191*V189+O191*V190+P191*V191+Q191*V192</f>
        <v>888552</v>
      </c>
      <c r="AD191" s="254">
        <f>L191*W187+M191*W188+N191*W189+O191*W190+P191*W191+Q191*W192</f>
        <v>0</v>
      </c>
      <c r="AE191" s="255">
        <f>L191*X187+M191*X188+N191*X189+O191*X190+P191*X191+Q191*X192</f>
        <v>-44427600</v>
      </c>
      <c r="AF191" s="193"/>
      <c r="AG191" s="257">
        <v>0</v>
      </c>
      <c r="AH191" s="257"/>
      <c r="AI191" s="257">
        <f>Z191*AG187+AA191*AG188+AB191*AG189+AC191*AG190+AD191*AG191+AE191*AG192</f>
        <v>-1274.6895693927218</v>
      </c>
      <c r="AK191" s="296" t="s">
        <v>371</v>
      </c>
      <c r="AL191" s="293">
        <f>ABS((Z191*AG187+AA191*AG188+AB191*AG189+AC191*AG190+AD191*AG191+AE191*AG192)/((2*$B$7*$B$8)+($B$9*B25)))</f>
        <v>7.0816087188484538</v>
      </c>
      <c r="AM191" s="294" t="str">
        <f t="shared" si="62"/>
        <v>&lt;</v>
      </c>
      <c r="AN191" s="295">
        <f>$H$28</f>
        <v>960</v>
      </c>
      <c r="AO191" s="298" t="s">
        <v>374</v>
      </c>
      <c r="AP191" s="295">
        <f>((ABS((Z191*AG187+AA191*AG188+AB191*AG189+AC191*AG190+AD191*AG191+AE191*AG192)/((2*$B$7*$B$8)+($B$9*B25))))/$H$28)</f>
        <v>7.3766757488004731E-3</v>
      </c>
      <c r="AQ191" s="294" t="str">
        <f t="shared" si="63"/>
        <v>&lt;</v>
      </c>
      <c r="AR191" s="295">
        <v>1</v>
      </c>
      <c r="AX191">
        <f t="shared" si="64"/>
        <v>50</v>
      </c>
      <c r="AY191">
        <f>AX191*1000+AY186</f>
        <v>50046</v>
      </c>
      <c r="AZ191">
        <f>AX191*1000+AZ186</f>
        <v>50047</v>
      </c>
      <c r="BA191">
        <f>AX191*1000+BA186</f>
        <v>50048</v>
      </c>
      <c r="BB191">
        <f>AX191*1000+BB186</f>
        <v>50049</v>
      </c>
      <c r="BC191">
        <f>AX191*1000+BC186</f>
        <v>50050</v>
      </c>
      <c r="BD191">
        <f>AX191*1000+BD186</f>
        <v>50051</v>
      </c>
    </row>
    <row r="192" spans="1:56" ht="15.75" thickBot="1" x14ac:dyDescent="0.3">
      <c r="A192" s="261">
        <f>-J184*B185</f>
        <v>44427600</v>
      </c>
      <c r="B192" s="262">
        <f>J184*B184</f>
        <v>0</v>
      </c>
      <c r="C192" s="262">
        <f>H185</f>
        <v>1480920000</v>
      </c>
      <c r="D192" s="262">
        <f>J184*B185</f>
        <v>-44427600</v>
      </c>
      <c r="E192" s="262">
        <f>-J184*B184</f>
        <v>0</v>
      </c>
      <c r="F192" s="263">
        <f>H184</f>
        <v>2961840000</v>
      </c>
      <c r="G192" s="262">
        <v>51</v>
      </c>
      <c r="H192" s="264"/>
      <c r="I192" s="264"/>
      <c r="J192" s="265"/>
      <c r="K192" s="193"/>
      <c r="L192" s="254">
        <v>0</v>
      </c>
      <c r="M192" s="254">
        <f>J184</f>
        <v>44427600</v>
      </c>
      <c r="N192" s="254">
        <f>H185</f>
        <v>1480920000</v>
      </c>
      <c r="O192" s="254">
        <v>0</v>
      </c>
      <c r="P192" s="254">
        <f>-J184</f>
        <v>-44427600</v>
      </c>
      <c r="Q192" s="255">
        <f>H184</f>
        <v>2961840000</v>
      </c>
      <c r="R192" s="193"/>
      <c r="S192" s="256">
        <v>0</v>
      </c>
      <c r="T192" s="254">
        <v>0</v>
      </c>
      <c r="U192" s="254">
        <v>0</v>
      </c>
      <c r="V192" s="254">
        <v>0</v>
      </c>
      <c r="W192" s="254">
        <v>0</v>
      </c>
      <c r="X192" s="255">
        <v>1</v>
      </c>
      <c r="Y192" s="193"/>
      <c r="Z192" s="254">
        <f>L192*S187+M192*S188+N192*S189+O192*S190+P192*S191+Q192*S192</f>
        <v>44427600</v>
      </c>
      <c r="AA192" s="254">
        <f>L192*T187+M192*T188+N192*T189+O192*T190+P192*T191+Q192*T192</f>
        <v>0</v>
      </c>
      <c r="AB192" s="254">
        <f>L192*U187+M192*U188+N192*U189+O192*U190+P192*U191+Q192*U192</f>
        <v>1480920000</v>
      </c>
      <c r="AC192" s="254">
        <f>L192*V187+M192*V188+N192*V189+O192*V190+P192*V191+Q192*V192</f>
        <v>-44427600</v>
      </c>
      <c r="AD192" s="254">
        <f>L192*W187+M192*W188+N192*W189+O192*W190+P192*W191+Q192*W192</f>
        <v>0</v>
      </c>
      <c r="AE192" s="255">
        <f>L192*X187+M192*X188+N192*X189+O192*X190+P192*X191+Q192*X192</f>
        <v>2961840000</v>
      </c>
      <c r="AF192" s="193"/>
      <c r="AG192" s="257">
        <f>O15</f>
        <v>-1.5687028887352115E-3</v>
      </c>
      <c r="AH192" s="257"/>
      <c r="AI192" s="257">
        <f>Z192*AG187+AA192*AG188+AB192*AG189+AC192*AG190+AD192*AG191+AE192*AG192</f>
        <v>0</v>
      </c>
      <c r="AK192" s="296" t="s">
        <v>372</v>
      </c>
      <c r="AL192" s="293">
        <f>ABS((Z192*AG187+AA192*AG188+AB192*AG189+AC192*AG190+AD192*AG191+AE192*AG192)*($B$8+0.5*B25)/(2*((($B$7*($B$8)^3)/12)+($B$7*$B$8)*(B25+2*$B$8-0.5*$B$8-($B$8+0.5*B25))^2)+($B$9*(B25)^3)/12))</f>
        <v>8.9804218766098329E-13</v>
      </c>
      <c r="AM192" s="294" t="str">
        <f t="shared" si="62"/>
        <v>&lt;</v>
      </c>
      <c r="AN192" s="295">
        <f>$J$28</f>
        <v>1440</v>
      </c>
      <c r="AO192" s="298" t="s">
        <v>373</v>
      </c>
      <c r="AP192" s="305">
        <f>((ABS((Z190*AG187+AA190*AG188+AB190*AG189+AC190*AG190+AD190*AG191+AE190*AG192)/((2*$B$7*$B$8)+($B$9*B25))))/$F$28)+((ABS((Z192*AG187+AA192*AG188+AB192*AG189+AC192*AG190+AD192*AG191+AE192*AG192)*($B$8+0.5*B25)/(2*((($B$7*($B$8)^3)/12)+($B$7*$B$8)*(B25+2*$B$8-0.5*$B$8-($B$8+0.5*B25))^2)+($B$9*(B25)^3)/12)))/$J$28)</f>
        <v>5.545910493830913E-3</v>
      </c>
      <c r="AQ192" s="294" t="str">
        <f t="shared" si="63"/>
        <v>&lt;</v>
      </c>
      <c r="AR192" s="295">
        <v>1</v>
      </c>
      <c r="AX192">
        <f t="shared" si="64"/>
        <v>51</v>
      </c>
      <c r="AY192">
        <f>AX192*1000+AY186</f>
        <v>51046</v>
      </c>
      <c r="AZ192">
        <f>AX192*1000+AZ186</f>
        <v>51047</v>
      </c>
      <c r="BA192">
        <f>AX192*1000+BA186</f>
        <v>51048</v>
      </c>
      <c r="BB192">
        <f>AX192*1000+BB186</f>
        <v>51049</v>
      </c>
      <c r="BC192">
        <f>AX192*1000+BC186</f>
        <v>51050</v>
      </c>
      <c r="BD192">
        <f>AX192*1000+BD186</f>
        <v>51051</v>
      </c>
    </row>
    <row r="194" spans="1:58" x14ac:dyDescent="0.25">
      <c r="B194" s="5">
        <v>1</v>
      </c>
      <c r="C194" s="5">
        <v>2</v>
      </c>
      <c r="D194" s="5">
        <v>49</v>
      </c>
      <c r="E194" s="5">
        <v>50</v>
      </c>
      <c r="F194" s="5">
        <v>3</v>
      </c>
      <c r="G194" s="5">
        <v>4</v>
      </c>
      <c r="H194" s="5">
        <v>5</v>
      </c>
      <c r="I194" s="5">
        <v>6</v>
      </c>
      <c r="J194" s="5">
        <v>7</v>
      </c>
      <c r="K194" s="5">
        <v>8</v>
      </c>
      <c r="L194" s="5">
        <v>9</v>
      </c>
      <c r="M194" s="5">
        <v>10</v>
      </c>
      <c r="N194" s="5">
        <v>11</v>
      </c>
      <c r="O194" s="5">
        <v>12</v>
      </c>
      <c r="P194" s="5">
        <v>13</v>
      </c>
      <c r="Q194" s="5">
        <v>14</v>
      </c>
      <c r="R194" s="5">
        <v>15</v>
      </c>
      <c r="S194" s="5">
        <v>16</v>
      </c>
      <c r="T194" s="5">
        <v>17</v>
      </c>
      <c r="U194" s="5">
        <v>18</v>
      </c>
      <c r="V194" s="5">
        <v>19</v>
      </c>
      <c r="W194" s="5">
        <v>20</v>
      </c>
      <c r="X194" s="5">
        <v>21</v>
      </c>
      <c r="Y194" s="5">
        <v>22</v>
      </c>
      <c r="Z194" s="5">
        <v>23</v>
      </c>
      <c r="AA194" s="5">
        <v>24</v>
      </c>
      <c r="AB194" s="5">
        <v>25</v>
      </c>
      <c r="AC194" s="5">
        <v>26</v>
      </c>
      <c r="AD194" s="5">
        <v>27</v>
      </c>
      <c r="AE194" s="5">
        <v>28</v>
      </c>
      <c r="AF194" s="5">
        <v>29</v>
      </c>
      <c r="AG194" s="5">
        <v>30</v>
      </c>
      <c r="AH194" s="5">
        <v>31</v>
      </c>
      <c r="AI194" s="5">
        <v>32</v>
      </c>
      <c r="AJ194" s="5">
        <v>33</v>
      </c>
      <c r="AK194" s="5">
        <v>34</v>
      </c>
      <c r="AL194" s="5">
        <v>35</v>
      </c>
      <c r="AM194" s="5">
        <v>36</v>
      </c>
      <c r="AN194" s="5">
        <v>37</v>
      </c>
      <c r="AO194" s="5">
        <v>38</v>
      </c>
      <c r="AP194" s="5">
        <v>39</v>
      </c>
      <c r="AQ194" s="5">
        <v>40</v>
      </c>
      <c r="AR194" s="5">
        <v>41</v>
      </c>
      <c r="AS194" s="5">
        <v>42</v>
      </c>
      <c r="AT194" s="5">
        <v>43</v>
      </c>
      <c r="AU194" s="5">
        <v>44</v>
      </c>
      <c r="AV194" s="5">
        <v>45</v>
      </c>
      <c r="AW194" s="5">
        <v>46</v>
      </c>
      <c r="AX194" s="5">
        <v>47</v>
      </c>
      <c r="AY194" s="5">
        <v>48</v>
      </c>
      <c r="AZ194" s="5">
        <v>51</v>
      </c>
      <c r="BB194" s="59"/>
      <c r="BD194" s="59"/>
    </row>
    <row r="195" spans="1:58" x14ac:dyDescent="0.25">
      <c r="A195" s="113">
        <v>1</v>
      </c>
      <c r="B195" s="5">
        <f t="shared" ref="B195:AG195" si="65">SUMIF($AY$52:$BD$192,$A$195*1000+B194,$A$52:$F$192)</f>
        <v>888552</v>
      </c>
      <c r="C195" s="5">
        <f t="shared" si="65"/>
        <v>0</v>
      </c>
      <c r="D195" s="5">
        <f t="shared" si="65"/>
        <v>0</v>
      </c>
      <c r="E195" s="267">
        <f t="shared" si="65"/>
        <v>0</v>
      </c>
      <c r="F195" s="5">
        <f t="shared" si="65"/>
        <v>-44427600</v>
      </c>
      <c r="G195" s="5">
        <f t="shared" si="65"/>
        <v>-888552</v>
      </c>
      <c r="H195" s="5">
        <f t="shared" si="65"/>
        <v>0</v>
      </c>
      <c r="I195" s="5">
        <f t="shared" si="65"/>
        <v>-44427600</v>
      </c>
      <c r="J195" s="5">
        <f t="shared" si="65"/>
        <v>0</v>
      </c>
      <c r="K195" s="5">
        <f t="shared" si="65"/>
        <v>0</v>
      </c>
      <c r="L195" s="5">
        <f t="shared" si="65"/>
        <v>0</v>
      </c>
      <c r="M195" s="5">
        <f t="shared" si="65"/>
        <v>0</v>
      </c>
      <c r="N195" s="5">
        <f t="shared" si="65"/>
        <v>0</v>
      </c>
      <c r="O195" s="5">
        <f t="shared" si="65"/>
        <v>0</v>
      </c>
      <c r="P195" s="5">
        <f t="shared" si="65"/>
        <v>0</v>
      </c>
      <c r="Q195" s="5">
        <f t="shared" si="65"/>
        <v>0</v>
      </c>
      <c r="R195" s="5">
        <f t="shared" si="65"/>
        <v>0</v>
      </c>
      <c r="S195" s="5">
        <f t="shared" si="65"/>
        <v>0</v>
      </c>
      <c r="T195" s="5">
        <f t="shared" si="65"/>
        <v>0</v>
      </c>
      <c r="U195" s="5">
        <f t="shared" si="65"/>
        <v>0</v>
      </c>
      <c r="V195" s="5">
        <f t="shared" si="65"/>
        <v>0</v>
      </c>
      <c r="W195" s="5">
        <f t="shared" si="65"/>
        <v>0</v>
      </c>
      <c r="X195" s="5">
        <f t="shared" si="65"/>
        <v>0</v>
      </c>
      <c r="Y195" s="5">
        <f t="shared" si="65"/>
        <v>0</v>
      </c>
      <c r="Z195" s="5">
        <f t="shared" si="65"/>
        <v>0</v>
      </c>
      <c r="AA195" s="5">
        <f t="shared" si="65"/>
        <v>0</v>
      </c>
      <c r="AB195" s="5">
        <f t="shared" si="65"/>
        <v>0</v>
      </c>
      <c r="AC195" s="5">
        <f t="shared" si="65"/>
        <v>0</v>
      </c>
      <c r="AD195" s="5">
        <f t="shared" si="65"/>
        <v>0</v>
      </c>
      <c r="AE195" s="5">
        <f t="shared" si="65"/>
        <v>0</v>
      </c>
      <c r="AF195" s="5">
        <f t="shared" si="65"/>
        <v>0</v>
      </c>
      <c r="AG195" s="5">
        <f t="shared" si="65"/>
        <v>0</v>
      </c>
      <c r="AH195" s="5">
        <f t="shared" ref="AH195:AZ195" si="66">SUMIF($AY$52:$BD$192,$A$195*1000+AH194,$A$52:$F$192)</f>
        <v>0</v>
      </c>
      <c r="AI195" s="5">
        <f t="shared" si="66"/>
        <v>0</v>
      </c>
      <c r="AJ195" s="5">
        <f t="shared" si="66"/>
        <v>0</v>
      </c>
      <c r="AK195" s="5">
        <f t="shared" si="66"/>
        <v>0</v>
      </c>
      <c r="AL195" s="5">
        <f t="shared" si="66"/>
        <v>0</v>
      </c>
      <c r="AM195" s="5">
        <f t="shared" si="66"/>
        <v>0</v>
      </c>
      <c r="AN195" s="5">
        <f t="shared" si="66"/>
        <v>0</v>
      </c>
      <c r="AO195" s="5">
        <f t="shared" si="66"/>
        <v>0</v>
      </c>
      <c r="AP195" s="5">
        <f t="shared" si="66"/>
        <v>0</v>
      </c>
      <c r="AQ195" s="5">
        <f t="shared" si="66"/>
        <v>0</v>
      </c>
      <c r="AR195" s="5">
        <f t="shared" si="66"/>
        <v>0</v>
      </c>
      <c r="AS195" s="5">
        <f t="shared" si="66"/>
        <v>0</v>
      </c>
      <c r="AT195" s="5">
        <f t="shared" si="66"/>
        <v>0</v>
      </c>
      <c r="AU195" s="5">
        <f t="shared" si="66"/>
        <v>0</v>
      </c>
      <c r="AV195" s="5">
        <f t="shared" si="66"/>
        <v>0</v>
      </c>
      <c r="AW195" s="5">
        <f t="shared" si="66"/>
        <v>0</v>
      </c>
      <c r="AX195" s="5">
        <f t="shared" si="66"/>
        <v>0</v>
      </c>
      <c r="AY195" s="5">
        <f t="shared" si="66"/>
        <v>0</v>
      </c>
      <c r="AZ195" s="268">
        <f t="shared" si="66"/>
        <v>0</v>
      </c>
      <c r="BB195" s="269" t="s">
        <v>128</v>
      </c>
      <c r="BC195" s="270"/>
      <c r="BD195" s="269">
        <f>Z31</f>
        <v>0</v>
      </c>
      <c r="BE195" s="254"/>
    </row>
    <row r="196" spans="1:58" x14ac:dyDescent="0.25">
      <c r="A196" s="113">
        <v>2</v>
      </c>
      <c r="B196" s="5">
        <f t="shared" ref="B196:AG196" si="67">SUMIF($AY$52:$BD$192,$A$196*1000+B194,$A$52:$F$192)</f>
        <v>0</v>
      </c>
      <c r="C196" s="5">
        <f t="shared" si="67"/>
        <v>3780000</v>
      </c>
      <c r="D196" s="5">
        <f t="shared" si="67"/>
        <v>0</v>
      </c>
      <c r="E196" s="267">
        <f t="shared" si="67"/>
        <v>0</v>
      </c>
      <c r="F196" s="5">
        <f t="shared" si="67"/>
        <v>0</v>
      </c>
      <c r="G196" s="5">
        <f t="shared" si="67"/>
        <v>0</v>
      </c>
      <c r="H196" s="5">
        <f t="shared" si="67"/>
        <v>-3780000</v>
      </c>
      <c r="I196" s="5">
        <f t="shared" si="67"/>
        <v>0</v>
      </c>
      <c r="J196" s="5">
        <f t="shared" si="67"/>
        <v>0</v>
      </c>
      <c r="K196" s="5">
        <f t="shared" si="67"/>
        <v>0</v>
      </c>
      <c r="L196" s="5">
        <f t="shared" si="67"/>
        <v>0</v>
      </c>
      <c r="M196" s="5">
        <f t="shared" si="67"/>
        <v>0</v>
      </c>
      <c r="N196" s="5">
        <f t="shared" si="67"/>
        <v>0</v>
      </c>
      <c r="O196" s="5">
        <f t="shared" si="67"/>
        <v>0</v>
      </c>
      <c r="P196" s="5">
        <f t="shared" si="67"/>
        <v>0</v>
      </c>
      <c r="Q196" s="5">
        <f t="shared" si="67"/>
        <v>0</v>
      </c>
      <c r="R196" s="5">
        <f t="shared" si="67"/>
        <v>0</v>
      </c>
      <c r="S196" s="5">
        <f t="shared" si="67"/>
        <v>0</v>
      </c>
      <c r="T196" s="5">
        <f t="shared" si="67"/>
        <v>0</v>
      </c>
      <c r="U196" s="5">
        <f t="shared" si="67"/>
        <v>0</v>
      </c>
      <c r="V196" s="5">
        <f t="shared" si="67"/>
        <v>0</v>
      </c>
      <c r="W196" s="5">
        <f t="shared" si="67"/>
        <v>0</v>
      </c>
      <c r="X196" s="5">
        <f t="shared" si="67"/>
        <v>0</v>
      </c>
      <c r="Y196" s="5">
        <f t="shared" si="67"/>
        <v>0</v>
      </c>
      <c r="Z196" s="5">
        <f t="shared" si="67"/>
        <v>0</v>
      </c>
      <c r="AA196" s="5">
        <f t="shared" si="67"/>
        <v>0</v>
      </c>
      <c r="AB196" s="5">
        <f t="shared" si="67"/>
        <v>0</v>
      </c>
      <c r="AC196" s="5">
        <f t="shared" si="67"/>
        <v>0</v>
      </c>
      <c r="AD196" s="5">
        <f t="shared" si="67"/>
        <v>0</v>
      </c>
      <c r="AE196" s="5">
        <f t="shared" si="67"/>
        <v>0</v>
      </c>
      <c r="AF196" s="5">
        <f t="shared" si="67"/>
        <v>0</v>
      </c>
      <c r="AG196" s="5">
        <f t="shared" si="67"/>
        <v>0</v>
      </c>
      <c r="AH196" s="5">
        <f t="shared" ref="AH196:AZ196" si="68">SUMIF($AY$52:$BD$192,$A$196*1000+AH194,$A$52:$F$192)</f>
        <v>0</v>
      </c>
      <c r="AI196" s="5">
        <f t="shared" si="68"/>
        <v>0</v>
      </c>
      <c r="AJ196" s="5">
        <f t="shared" si="68"/>
        <v>0</v>
      </c>
      <c r="AK196" s="5">
        <f t="shared" si="68"/>
        <v>0</v>
      </c>
      <c r="AL196" s="5">
        <f t="shared" si="68"/>
        <v>0</v>
      </c>
      <c r="AM196" s="5">
        <f t="shared" si="68"/>
        <v>0</v>
      </c>
      <c r="AN196" s="5">
        <f t="shared" si="68"/>
        <v>0</v>
      </c>
      <c r="AO196" s="5">
        <f t="shared" si="68"/>
        <v>0</v>
      </c>
      <c r="AP196" s="5">
        <f t="shared" si="68"/>
        <v>0</v>
      </c>
      <c r="AQ196" s="5">
        <f t="shared" si="68"/>
        <v>0</v>
      </c>
      <c r="AR196" s="5">
        <f t="shared" si="68"/>
        <v>0</v>
      </c>
      <c r="AS196" s="5">
        <f t="shared" si="68"/>
        <v>0</v>
      </c>
      <c r="AT196" s="5">
        <f t="shared" si="68"/>
        <v>0</v>
      </c>
      <c r="AU196" s="5">
        <f t="shared" si="68"/>
        <v>0</v>
      </c>
      <c r="AV196" s="5">
        <f t="shared" si="68"/>
        <v>0</v>
      </c>
      <c r="AW196" s="5">
        <f t="shared" si="68"/>
        <v>0</v>
      </c>
      <c r="AX196" s="5">
        <f t="shared" si="68"/>
        <v>0</v>
      </c>
      <c r="AY196" s="5">
        <f t="shared" si="68"/>
        <v>0</v>
      </c>
      <c r="AZ196" s="268">
        <f t="shared" si="68"/>
        <v>0</v>
      </c>
      <c r="BB196" s="269" t="s">
        <v>129</v>
      </c>
      <c r="BC196" s="270"/>
      <c r="BD196" s="269">
        <f>AA31</f>
        <v>0</v>
      </c>
      <c r="BE196" s="254"/>
    </row>
    <row r="197" spans="1:58" x14ac:dyDescent="0.25">
      <c r="A197" s="113">
        <v>49</v>
      </c>
      <c r="B197" s="5">
        <f t="shared" ref="B197:AG197" si="69">SUMIF($AY$52:$BD$192,$A$197*1000+B194,$A$52:$F$192)</f>
        <v>0</v>
      </c>
      <c r="C197" s="5">
        <f t="shared" si="69"/>
        <v>0</v>
      </c>
      <c r="D197" s="5">
        <f t="shared" si="69"/>
        <v>888552</v>
      </c>
      <c r="E197" s="267">
        <f t="shared" si="69"/>
        <v>0</v>
      </c>
      <c r="F197" s="5">
        <f t="shared" si="69"/>
        <v>0</v>
      </c>
      <c r="G197" s="5">
        <f t="shared" si="69"/>
        <v>0</v>
      </c>
      <c r="H197" s="5">
        <f t="shared" si="69"/>
        <v>0</v>
      </c>
      <c r="I197" s="5">
        <f t="shared" si="69"/>
        <v>0</v>
      </c>
      <c r="J197" s="5">
        <f t="shared" si="69"/>
        <v>0</v>
      </c>
      <c r="K197" s="5">
        <f t="shared" si="69"/>
        <v>0</v>
      </c>
      <c r="L197" s="5">
        <f t="shared" si="69"/>
        <v>0</v>
      </c>
      <c r="M197" s="5">
        <f t="shared" si="69"/>
        <v>0</v>
      </c>
      <c r="N197" s="5">
        <f t="shared" si="69"/>
        <v>0</v>
      </c>
      <c r="O197" s="5">
        <f t="shared" si="69"/>
        <v>0</v>
      </c>
      <c r="P197" s="5">
        <f t="shared" si="69"/>
        <v>0</v>
      </c>
      <c r="Q197" s="5">
        <f t="shared" si="69"/>
        <v>0</v>
      </c>
      <c r="R197" s="5">
        <f t="shared" si="69"/>
        <v>0</v>
      </c>
      <c r="S197" s="5">
        <f t="shared" si="69"/>
        <v>0</v>
      </c>
      <c r="T197" s="5">
        <f t="shared" si="69"/>
        <v>0</v>
      </c>
      <c r="U197" s="5">
        <f t="shared" si="69"/>
        <v>0</v>
      </c>
      <c r="V197" s="5">
        <f t="shared" si="69"/>
        <v>0</v>
      </c>
      <c r="W197" s="5">
        <f t="shared" si="69"/>
        <v>0</v>
      </c>
      <c r="X197" s="5">
        <f t="shared" si="69"/>
        <v>0</v>
      </c>
      <c r="Y197" s="5">
        <f t="shared" si="69"/>
        <v>0</v>
      </c>
      <c r="Z197" s="5">
        <f t="shared" si="69"/>
        <v>0</v>
      </c>
      <c r="AA197" s="5">
        <f t="shared" si="69"/>
        <v>0</v>
      </c>
      <c r="AB197" s="5">
        <f t="shared" si="69"/>
        <v>0</v>
      </c>
      <c r="AC197" s="5">
        <f t="shared" si="69"/>
        <v>0</v>
      </c>
      <c r="AD197" s="5">
        <f t="shared" si="69"/>
        <v>0</v>
      </c>
      <c r="AE197" s="5">
        <f t="shared" si="69"/>
        <v>0</v>
      </c>
      <c r="AF197" s="5">
        <f t="shared" si="69"/>
        <v>0</v>
      </c>
      <c r="AG197" s="5">
        <f t="shared" si="69"/>
        <v>0</v>
      </c>
      <c r="AH197" s="5">
        <f t="shared" ref="AH197:AZ197" si="70">SUMIF($AY$52:$BD$192,$A$197*1000+AH194,$A$52:$F$192)</f>
        <v>0</v>
      </c>
      <c r="AI197" s="5">
        <f t="shared" si="70"/>
        <v>0</v>
      </c>
      <c r="AJ197" s="5">
        <f t="shared" si="70"/>
        <v>0</v>
      </c>
      <c r="AK197" s="5">
        <f t="shared" si="70"/>
        <v>0</v>
      </c>
      <c r="AL197" s="5">
        <f t="shared" si="70"/>
        <v>0</v>
      </c>
      <c r="AM197" s="5">
        <f t="shared" si="70"/>
        <v>0</v>
      </c>
      <c r="AN197" s="5">
        <f t="shared" si="70"/>
        <v>0</v>
      </c>
      <c r="AO197" s="5">
        <f t="shared" si="70"/>
        <v>0</v>
      </c>
      <c r="AP197" s="5">
        <f t="shared" si="70"/>
        <v>0</v>
      </c>
      <c r="AQ197" s="5">
        <f t="shared" si="70"/>
        <v>0</v>
      </c>
      <c r="AR197" s="5">
        <f t="shared" si="70"/>
        <v>0</v>
      </c>
      <c r="AS197" s="5">
        <f t="shared" si="70"/>
        <v>0</v>
      </c>
      <c r="AT197" s="5">
        <f t="shared" si="70"/>
        <v>0</v>
      </c>
      <c r="AU197" s="5">
        <f t="shared" si="70"/>
        <v>0</v>
      </c>
      <c r="AV197" s="5">
        <f t="shared" si="70"/>
        <v>0</v>
      </c>
      <c r="AW197" s="5">
        <f t="shared" si="70"/>
        <v>-888552</v>
      </c>
      <c r="AX197" s="5">
        <f t="shared" si="70"/>
        <v>0</v>
      </c>
      <c r="AY197" s="5">
        <f t="shared" si="70"/>
        <v>-44427600</v>
      </c>
      <c r="AZ197" s="268">
        <f t="shared" si="70"/>
        <v>-44427600</v>
      </c>
      <c r="BB197" s="269" t="s">
        <v>288</v>
      </c>
      <c r="BC197" s="270"/>
      <c r="BD197" s="269">
        <f>Z47</f>
        <v>0</v>
      </c>
      <c r="BE197" s="254"/>
    </row>
    <row r="198" spans="1:58" ht="15.75" thickBot="1" x14ac:dyDescent="0.3">
      <c r="A198" s="113">
        <v>50</v>
      </c>
      <c r="B198" s="271">
        <f t="shared" ref="B198:AG198" si="71">SUMIF($AY$52:$BD$192,$A$198*1000+B194,$A$52:$F$192)</f>
        <v>0</v>
      </c>
      <c r="C198" s="272">
        <f t="shared" si="71"/>
        <v>0</v>
      </c>
      <c r="D198" s="272">
        <f t="shared" si="71"/>
        <v>0</v>
      </c>
      <c r="E198" s="273">
        <f t="shared" si="71"/>
        <v>3780000</v>
      </c>
      <c r="F198" s="272">
        <f t="shared" si="71"/>
        <v>0</v>
      </c>
      <c r="G198" s="272">
        <f t="shared" si="71"/>
        <v>0</v>
      </c>
      <c r="H198" s="272">
        <f t="shared" si="71"/>
        <v>0</v>
      </c>
      <c r="I198" s="272">
        <f t="shared" si="71"/>
        <v>0</v>
      </c>
      <c r="J198" s="272">
        <f t="shared" si="71"/>
        <v>0</v>
      </c>
      <c r="K198" s="272">
        <f t="shared" si="71"/>
        <v>0</v>
      </c>
      <c r="L198" s="272">
        <f t="shared" si="71"/>
        <v>0</v>
      </c>
      <c r="M198" s="272">
        <f t="shared" si="71"/>
        <v>0</v>
      </c>
      <c r="N198" s="272">
        <f t="shared" si="71"/>
        <v>0</v>
      </c>
      <c r="O198" s="272">
        <f t="shared" si="71"/>
        <v>0</v>
      </c>
      <c r="P198" s="272">
        <f t="shared" si="71"/>
        <v>0</v>
      </c>
      <c r="Q198" s="272">
        <f t="shared" si="71"/>
        <v>0</v>
      </c>
      <c r="R198" s="272">
        <f t="shared" si="71"/>
        <v>0</v>
      </c>
      <c r="S198" s="272">
        <f t="shared" si="71"/>
        <v>0</v>
      </c>
      <c r="T198" s="272">
        <f t="shared" si="71"/>
        <v>0</v>
      </c>
      <c r="U198" s="272">
        <f t="shared" si="71"/>
        <v>0</v>
      </c>
      <c r="V198" s="272">
        <f t="shared" si="71"/>
        <v>0</v>
      </c>
      <c r="W198" s="272">
        <f t="shared" si="71"/>
        <v>0</v>
      </c>
      <c r="X198" s="272">
        <f t="shared" si="71"/>
        <v>0</v>
      </c>
      <c r="Y198" s="272">
        <f t="shared" si="71"/>
        <v>0</v>
      </c>
      <c r="Z198" s="272">
        <f t="shared" si="71"/>
        <v>0</v>
      </c>
      <c r="AA198" s="272">
        <f t="shared" si="71"/>
        <v>0</v>
      </c>
      <c r="AB198" s="272">
        <f t="shared" si="71"/>
        <v>0</v>
      </c>
      <c r="AC198" s="272">
        <f t="shared" si="71"/>
        <v>0</v>
      </c>
      <c r="AD198" s="272">
        <f t="shared" si="71"/>
        <v>0</v>
      </c>
      <c r="AE198" s="272">
        <f t="shared" si="71"/>
        <v>0</v>
      </c>
      <c r="AF198" s="272">
        <f t="shared" si="71"/>
        <v>0</v>
      </c>
      <c r="AG198" s="272">
        <f t="shared" si="71"/>
        <v>0</v>
      </c>
      <c r="AH198" s="272">
        <f t="shared" ref="AH198:AZ198" si="72">SUMIF($AY$52:$BD$192,$A$198*1000+AH194,$A$52:$F$192)</f>
        <v>0</v>
      </c>
      <c r="AI198" s="272">
        <f t="shared" si="72"/>
        <v>0</v>
      </c>
      <c r="AJ198" s="272">
        <f t="shared" si="72"/>
        <v>0</v>
      </c>
      <c r="AK198" s="272">
        <f t="shared" si="72"/>
        <v>0</v>
      </c>
      <c r="AL198" s="272">
        <f t="shared" si="72"/>
        <v>0</v>
      </c>
      <c r="AM198" s="272">
        <f t="shared" si="72"/>
        <v>0</v>
      </c>
      <c r="AN198" s="272">
        <f t="shared" si="72"/>
        <v>0</v>
      </c>
      <c r="AO198" s="272">
        <f t="shared" si="72"/>
        <v>0</v>
      </c>
      <c r="AP198" s="272">
        <f t="shared" si="72"/>
        <v>0</v>
      </c>
      <c r="AQ198" s="272">
        <f t="shared" si="72"/>
        <v>0</v>
      </c>
      <c r="AR198" s="272">
        <f t="shared" si="72"/>
        <v>0</v>
      </c>
      <c r="AS198" s="272">
        <f t="shared" si="72"/>
        <v>0</v>
      </c>
      <c r="AT198" s="272">
        <f t="shared" si="72"/>
        <v>0</v>
      </c>
      <c r="AU198" s="272">
        <f t="shared" si="72"/>
        <v>0</v>
      </c>
      <c r="AV198" s="272">
        <f t="shared" si="72"/>
        <v>0</v>
      </c>
      <c r="AW198" s="272">
        <f t="shared" si="72"/>
        <v>0</v>
      </c>
      <c r="AX198" s="272">
        <f t="shared" si="72"/>
        <v>-3780000</v>
      </c>
      <c r="AY198" s="272">
        <f t="shared" si="72"/>
        <v>0</v>
      </c>
      <c r="AZ198" s="274">
        <f t="shared" si="72"/>
        <v>0</v>
      </c>
      <c r="BB198" s="269" t="s">
        <v>289</v>
      </c>
      <c r="BC198" s="270"/>
      <c r="BD198" s="275">
        <f>AA47</f>
        <v>0</v>
      </c>
      <c r="BE198" s="254"/>
      <c r="BF198" s="59"/>
    </row>
    <row r="199" spans="1:58" x14ac:dyDescent="0.25">
      <c r="A199" s="113">
        <v>3</v>
      </c>
      <c r="B199" s="5">
        <f>SUMIF($AY$52:$BD$192,$A$199*1000+B194,$A$52:$F$192)</f>
        <v>-44427600</v>
      </c>
      <c r="C199" s="5">
        <f>SUMIF($AY$52:$BD$192,$A$199*1000+C194,$A$52:$F$192)</f>
        <v>0</v>
      </c>
      <c r="D199" s="5">
        <f>SUMIF($AY$52:$BD$192,$A$199*1000+D194,$A$52:$F$192)</f>
        <v>0</v>
      </c>
      <c r="E199" s="267">
        <f>SUMIF($AY$52:$BD$192,$A$199*1000+E194,$A$52:$F$192)</f>
        <v>0</v>
      </c>
      <c r="F199" s="290">
        <f>C54</f>
        <v>2961840000</v>
      </c>
      <c r="G199" s="276">
        <f>D54</f>
        <v>44427600</v>
      </c>
      <c r="H199" s="276">
        <f>E54</f>
        <v>0</v>
      </c>
      <c r="I199" s="277">
        <f>F54</f>
        <v>1480920000</v>
      </c>
      <c r="J199" s="276">
        <v>0</v>
      </c>
      <c r="K199" s="276">
        <v>0</v>
      </c>
      <c r="L199" s="276">
        <v>0</v>
      </c>
      <c r="M199" s="276">
        <v>0</v>
      </c>
      <c r="N199" s="276">
        <v>0</v>
      </c>
      <c r="O199" s="276">
        <v>0</v>
      </c>
      <c r="P199" s="276">
        <v>0</v>
      </c>
      <c r="Q199" s="276">
        <v>0</v>
      </c>
      <c r="R199" s="276">
        <v>0</v>
      </c>
      <c r="S199" s="276">
        <v>0</v>
      </c>
      <c r="T199" s="276">
        <v>0</v>
      </c>
      <c r="U199" s="276">
        <v>0</v>
      </c>
      <c r="V199" s="276">
        <v>0</v>
      </c>
      <c r="W199" s="276">
        <v>0</v>
      </c>
      <c r="X199" s="276">
        <v>0</v>
      </c>
      <c r="Y199" s="276">
        <v>0</v>
      </c>
      <c r="Z199" s="276">
        <v>0</v>
      </c>
      <c r="AA199" s="276">
        <v>0</v>
      </c>
      <c r="AB199" s="276">
        <v>0</v>
      </c>
      <c r="AC199" s="276">
        <v>0</v>
      </c>
      <c r="AD199" s="276">
        <v>0</v>
      </c>
      <c r="AE199" s="276">
        <v>0</v>
      </c>
      <c r="AF199" s="276">
        <v>0</v>
      </c>
      <c r="AG199" s="276">
        <v>0</v>
      </c>
      <c r="AH199" s="276">
        <v>0</v>
      </c>
      <c r="AI199" s="276">
        <v>0</v>
      </c>
      <c r="AJ199" s="276">
        <v>0</v>
      </c>
      <c r="AK199" s="276">
        <v>0</v>
      </c>
      <c r="AL199" s="276">
        <v>0</v>
      </c>
      <c r="AM199" s="276">
        <v>0</v>
      </c>
      <c r="AN199" s="276">
        <v>0</v>
      </c>
      <c r="AO199" s="276">
        <v>0</v>
      </c>
      <c r="AP199" s="276">
        <v>0</v>
      </c>
      <c r="AQ199" s="276">
        <v>0</v>
      </c>
      <c r="AR199" s="276">
        <v>0</v>
      </c>
      <c r="AS199" s="276">
        <v>0</v>
      </c>
      <c r="AT199" s="276">
        <v>0</v>
      </c>
      <c r="AU199" s="276">
        <v>0</v>
      </c>
      <c r="AV199" s="276">
        <v>0</v>
      </c>
      <c r="AW199" s="276">
        <v>0</v>
      </c>
      <c r="AX199" s="276">
        <v>0</v>
      </c>
      <c r="AY199" s="276">
        <v>0</v>
      </c>
      <c r="AZ199" s="278">
        <v>0</v>
      </c>
      <c r="BB199" s="269" t="s">
        <v>131</v>
      </c>
      <c r="BC199" s="270"/>
      <c r="BD199" s="275">
        <f>AB31</f>
        <v>0</v>
      </c>
      <c r="BE199" s="254"/>
      <c r="BF199" s="193">
        <f>G7</f>
        <v>-1.5620549384289322E-3</v>
      </c>
    </row>
    <row r="200" spans="1:58" x14ac:dyDescent="0.25">
      <c r="A200" s="113">
        <v>4</v>
      </c>
      <c r="B200" s="5">
        <f>SUMIF($AY$52:$BD$192,$A$200*1000+B194,$A$52:$F$192)</f>
        <v>-888552</v>
      </c>
      <c r="C200" s="5">
        <f>SUMIF($AY$52:$BD$192,$A$200*1000+C194,$A$52:$F$192)</f>
        <v>0</v>
      </c>
      <c r="D200" s="5">
        <f>SUMIF($AY$52:$BD$192,$A$200*1000+D194,$A$52:$F$192)</f>
        <v>0</v>
      </c>
      <c r="E200" s="267">
        <f>SUMIF($AY$52:$BD$192,$A$200*1000+E194,$A$52:$F$192)</f>
        <v>0</v>
      </c>
      <c r="F200" s="276">
        <f>C55</f>
        <v>44427600</v>
      </c>
      <c r="G200" s="288">
        <f t="shared" ref="G200:I202" si="73">D55+A61</f>
        <v>2491944</v>
      </c>
      <c r="H200" s="276">
        <f t="shared" si="73"/>
        <v>0</v>
      </c>
      <c r="I200" s="276">
        <f t="shared" si="73"/>
        <v>-35742000</v>
      </c>
      <c r="J200" s="276">
        <f t="shared" ref="J200:L202" si="74">D61</f>
        <v>-1603392</v>
      </c>
      <c r="K200" s="276">
        <f t="shared" si="74"/>
        <v>0</v>
      </c>
      <c r="L200" s="276">
        <f t="shared" si="74"/>
        <v>-80169600</v>
      </c>
      <c r="M200" s="276">
        <v>0</v>
      </c>
      <c r="N200" s="276">
        <v>0</v>
      </c>
      <c r="O200" s="276">
        <v>0</v>
      </c>
      <c r="P200" s="276">
        <v>0</v>
      </c>
      <c r="Q200" s="276">
        <v>0</v>
      </c>
      <c r="R200" s="276">
        <v>0</v>
      </c>
      <c r="S200" s="276">
        <v>0</v>
      </c>
      <c r="T200" s="276">
        <v>0</v>
      </c>
      <c r="U200" s="276">
        <v>0</v>
      </c>
      <c r="V200" s="276">
        <v>0</v>
      </c>
      <c r="W200" s="276">
        <v>0</v>
      </c>
      <c r="X200" s="276">
        <v>0</v>
      </c>
      <c r="Y200" s="276">
        <v>0</v>
      </c>
      <c r="Z200" s="276">
        <v>0</v>
      </c>
      <c r="AA200" s="276">
        <v>0</v>
      </c>
      <c r="AB200" s="276">
        <v>0</v>
      </c>
      <c r="AC200" s="276">
        <v>0</v>
      </c>
      <c r="AD200" s="276">
        <v>0</v>
      </c>
      <c r="AE200" s="276">
        <v>0</v>
      </c>
      <c r="AF200" s="276">
        <v>0</v>
      </c>
      <c r="AG200" s="276">
        <v>0</v>
      </c>
      <c r="AH200" s="276">
        <v>0</v>
      </c>
      <c r="AI200" s="276">
        <v>0</v>
      </c>
      <c r="AJ200" s="276">
        <v>0</v>
      </c>
      <c r="AK200" s="276">
        <v>0</v>
      </c>
      <c r="AL200" s="276">
        <v>0</v>
      </c>
      <c r="AM200" s="276">
        <v>0</v>
      </c>
      <c r="AN200" s="276">
        <v>0</v>
      </c>
      <c r="AO200" s="276">
        <v>0</v>
      </c>
      <c r="AP200" s="276">
        <v>0</v>
      </c>
      <c r="AQ200" s="276">
        <v>0</v>
      </c>
      <c r="AR200" s="276">
        <v>0</v>
      </c>
      <c r="AS200" s="276">
        <v>0</v>
      </c>
      <c r="AT200" s="276">
        <v>0</v>
      </c>
      <c r="AU200" s="276">
        <v>0</v>
      </c>
      <c r="AV200" s="276">
        <v>0</v>
      </c>
      <c r="AW200" s="276">
        <v>0</v>
      </c>
      <c r="AX200" s="276">
        <v>0</v>
      </c>
      <c r="AY200" s="276">
        <v>0</v>
      </c>
      <c r="AZ200" s="278">
        <v>0</v>
      </c>
      <c r="BB200" s="269" t="s">
        <v>290</v>
      </c>
      <c r="BC200" s="270"/>
      <c r="BD200" s="275">
        <f>Z32</f>
        <v>0</v>
      </c>
      <c r="BE200" s="254"/>
      <c r="BF200" s="193">
        <f>G8</f>
        <v>0.15344750009439326</v>
      </c>
    </row>
    <row r="201" spans="1:58" x14ac:dyDescent="0.25">
      <c r="A201" s="113">
        <v>5</v>
      </c>
      <c r="B201" s="5">
        <f>SUMIF($AY$52:$BD$192,$A$201*1000+B194,$A$52:$F$192)</f>
        <v>0</v>
      </c>
      <c r="C201" s="5">
        <f>SUMIF($AY$52:$BD$192,$A$201*1000+C194,$A$52:$F$192)</f>
        <v>-3780000</v>
      </c>
      <c r="D201" s="5">
        <f>SUMIF($AY$52:$BD$192,$A$201*1000+D194,$A$52:$F$192)</f>
        <v>0</v>
      </c>
      <c r="E201" s="267">
        <f>SUMIF($AY$52:$BD$192,$A$201*1000+E194,$A$52:$F$192)</f>
        <v>0</v>
      </c>
      <c r="F201" s="276">
        <f>C56</f>
        <v>0</v>
      </c>
      <c r="G201" s="276">
        <f t="shared" si="73"/>
        <v>0</v>
      </c>
      <c r="H201" s="288">
        <f t="shared" si="73"/>
        <v>7980000</v>
      </c>
      <c r="I201" s="276">
        <f t="shared" si="73"/>
        <v>0</v>
      </c>
      <c r="J201" s="276">
        <f t="shared" si="74"/>
        <v>0</v>
      </c>
      <c r="K201" s="276">
        <f t="shared" si="74"/>
        <v>-4200000</v>
      </c>
      <c r="L201" s="276">
        <f t="shared" si="74"/>
        <v>0</v>
      </c>
      <c r="M201" s="276">
        <v>0</v>
      </c>
      <c r="N201" s="276">
        <v>0</v>
      </c>
      <c r="O201" s="276">
        <v>0</v>
      </c>
      <c r="P201" s="276">
        <v>0</v>
      </c>
      <c r="Q201" s="276">
        <v>0</v>
      </c>
      <c r="R201" s="276">
        <v>0</v>
      </c>
      <c r="S201" s="276">
        <v>0</v>
      </c>
      <c r="T201" s="276">
        <v>0</v>
      </c>
      <c r="U201" s="276">
        <v>0</v>
      </c>
      <c r="V201" s="276">
        <v>0</v>
      </c>
      <c r="W201" s="276">
        <v>0</v>
      </c>
      <c r="X201" s="276">
        <v>0</v>
      </c>
      <c r="Y201" s="276">
        <v>0</v>
      </c>
      <c r="Z201" s="276">
        <v>0</v>
      </c>
      <c r="AA201" s="276">
        <v>0</v>
      </c>
      <c r="AB201" s="276">
        <v>0</v>
      </c>
      <c r="AC201" s="276">
        <v>0</v>
      </c>
      <c r="AD201" s="276">
        <v>0</v>
      </c>
      <c r="AE201" s="276">
        <v>0</v>
      </c>
      <c r="AF201" s="276">
        <v>0</v>
      </c>
      <c r="AG201" s="276">
        <v>0</v>
      </c>
      <c r="AH201" s="276">
        <v>0</v>
      </c>
      <c r="AI201" s="276">
        <v>0</v>
      </c>
      <c r="AJ201" s="276">
        <v>0</v>
      </c>
      <c r="AK201" s="276">
        <v>0</v>
      </c>
      <c r="AL201" s="276">
        <v>0</v>
      </c>
      <c r="AM201" s="276">
        <v>0</v>
      </c>
      <c r="AN201" s="276">
        <v>0</v>
      </c>
      <c r="AO201" s="276">
        <v>0</v>
      </c>
      <c r="AP201" s="276">
        <v>0</v>
      </c>
      <c r="AQ201" s="276">
        <v>0</v>
      </c>
      <c r="AR201" s="276">
        <v>0</v>
      </c>
      <c r="AS201" s="276">
        <v>0</v>
      </c>
      <c r="AT201" s="276">
        <v>0</v>
      </c>
      <c r="AU201" s="276">
        <v>0</v>
      </c>
      <c r="AV201" s="276">
        <v>0</v>
      </c>
      <c r="AW201" s="276">
        <v>0</v>
      </c>
      <c r="AX201" s="276">
        <v>0</v>
      </c>
      <c r="AY201" s="276">
        <v>0</v>
      </c>
      <c r="AZ201" s="278">
        <v>0</v>
      </c>
      <c r="BB201" s="269" t="s">
        <v>132</v>
      </c>
      <c r="BC201" s="270"/>
      <c r="BD201" s="275">
        <f>AA32</f>
        <v>0</v>
      </c>
      <c r="BE201" s="254"/>
      <c r="BF201" s="193">
        <f t="shared" ref="BF201:BF212" si="75">G9</f>
        <v>4.4642857142875952E-4</v>
      </c>
    </row>
    <row r="202" spans="1:58" x14ac:dyDescent="0.25">
      <c r="A202" s="113">
        <v>6</v>
      </c>
      <c r="B202" s="5">
        <f>SUMIF($AY$52:$BD$192,$A$202*1000+B194,$A$52:$F$192)</f>
        <v>-44427600</v>
      </c>
      <c r="C202" s="5">
        <f>SUMIF($AY$52:$BD$192,$A$202*1000+C194,$A$52:$F$192)</f>
        <v>0</v>
      </c>
      <c r="D202" s="5">
        <f>SUMIF($AY$52:$BD$192,$A$202*1000+D194,$A$52:$F$192)</f>
        <v>0</v>
      </c>
      <c r="E202" s="267">
        <f>SUMIF($AY$52:$BD$192,$A$202*1000+E194,$A$52:$F$192)</f>
        <v>0</v>
      </c>
      <c r="F202" s="280">
        <f>C57</f>
        <v>1480920000</v>
      </c>
      <c r="G202" s="276">
        <f t="shared" si="73"/>
        <v>-35742000</v>
      </c>
      <c r="H202" s="276">
        <f t="shared" si="73"/>
        <v>0</v>
      </c>
      <c r="I202" s="288">
        <f t="shared" si="73"/>
        <v>8306480000</v>
      </c>
      <c r="J202" s="276">
        <f t="shared" si="74"/>
        <v>80169600</v>
      </c>
      <c r="K202" s="276">
        <f t="shared" si="74"/>
        <v>0</v>
      </c>
      <c r="L202" s="276">
        <f t="shared" si="74"/>
        <v>2672320000</v>
      </c>
      <c r="M202" s="276">
        <v>0</v>
      </c>
      <c r="N202" s="276">
        <v>0</v>
      </c>
      <c r="O202" s="276">
        <v>0</v>
      </c>
      <c r="P202" s="276">
        <v>0</v>
      </c>
      <c r="Q202" s="276">
        <v>0</v>
      </c>
      <c r="R202" s="276">
        <v>0</v>
      </c>
      <c r="S202" s="276">
        <v>0</v>
      </c>
      <c r="T202" s="276">
        <v>0</v>
      </c>
      <c r="U202" s="276">
        <v>0</v>
      </c>
      <c r="V202" s="276">
        <v>0</v>
      </c>
      <c r="W202" s="276">
        <v>0</v>
      </c>
      <c r="X202" s="276">
        <v>0</v>
      </c>
      <c r="Y202" s="276">
        <v>0</v>
      </c>
      <c r="Z202" s="276">
        <v>0</v>
      </c>
      <c r="AA202" s="276">
        <v>0</v>
      </c>
      <c r="AB202" s="276">
        <v>0</v>
      </c>
      <c r="AC202" s="276">
        <v>0</v>
      </c>
      <c r="AD202" s="276">
        <v>0</v>
      </c>
      <c r="AE202" s="276">
        <v>0</v>
      </c>
      <c r="AF202" s="276">
        <v>0</v>
      </c>
      <c r="AG202" s="276">
        <v>0</v>
      </c>
      <c r="AH202" s="276">
        <v>0</v>
      </c>
      <c r="AI202" s="276">
        <v>0</v>
      </c>
      <c r="AJ202" s="276">
        <v>0</v>
      </c>
      <c r="AK202" s="276">
        <v>0</v>
      </c>
      <c r="AL202" s="276">
        <v>0</v>
      </c>
      <c r="AM202" s="276">
        <v>0</v>
      </c>
      <c r="AN202" s="276">
        <v>0</v>
      </c>
      <c r="AO202" s="276">
        <v>0</v>
      </c>
      <c r="AP202" s="276">
        <v>0</v>
      </c>
      <c r="AQ202" s="276">
        <v>0</v>
      </c>
      <c r="AR202" s="276">
        <v>0</v>
      </c>
      <c r="AS202" s="276">
        <v>0</v>
      </c>
      <c r="AT202" s="276">
        <v>0</v>
      </c>
      <c r="AU202" s="276">
        <v>0</v>
      </c>
      <c r="AV202" s="276">
        <v>0</v>
      </c>
      <c r="AW202" s="276">
        <v>0</v>
      </c>
      <c r="AX202" s="276">
        <v>0</v>
      </c>
      <c r="AY202" s="276">
        <v>0</v>
      </c>
      <c r="AZ202" s="278">
        <v>0</v>
      </c>
      <c r="BB202" s="269" t="s">
        <v>133</v>
      </c>
      <c r="BC202" s="270"/>
      <c r="BD202" s="275">
        <f>AB32</f>
        <v>0</v>
      </c>
      <c r="BE202" s="254"/>
      <c r="BF202" s="193">
        <f t="shared" si="75"/>
        <v>-1.4793151259739339E-3</v>
      </c>
    </row>
    <row r="203" spans="1:58" x14ac:dyDescent="0.25">
      <c r="A203" s="113">
        <v>7</v>
      </c>
      <c r="B203" s="5">
        <f>SUMIF($AY$52:$BD$192,$A$203*1000+B194,$A$52:$F$192)</f>
        <v>0</v>
      </c>
      <c r="C203" s="5">
        <f>SUMIF($AY$52:$BD$192,$A$203*1000+C194,$A$52:$F$192)</f>
        <v>0</v>
      </c>
      <c r="D203" s="5">
        <f>SUMIF($AY$52:$BD$192,$A$203*1000+D194,$A$52:$F$192)</f>
        <v>0</v>
      </c>
      <c r="E203" s="267">
        <f>SUMIF($AY$52:$BD$192,$A$203*1000+E194,$A$52:$F$192)</f>
        <v>0</v>
      </c>
      <c r="F203" s="276">
        <v>0</v>
      </c>
      <c r="G203" s="276">
        <f t="shared" ref="G203:I205" si="76">A64</f>
        <v>-1603392</v>
      </c>
      <c r="H203" s="276">
        <f t="shared" si="76"/>
        <v>0</v>
      </c>
      <c r="I203" s="276">
        <f t="shared" si="76"/>
        <v>80169600</v>
      </c>
      <c r="J203" s="288">
        <f t="shared" ref="J203:L205" si="77">D64+A70</f>
        <v>4173624</v>
      </c>
      <c r="K203" s="276">
        <f t="shared" si="77"/>
        <v>0</v>
      </c>
      <c r="L203" s="276">
        <f t="shared" si="77"/>
        <v>-48342000</v>
      </c>
      <c r="M203" s="276">
        <f t="shared" ref="M203:O205" si="78">D70</f>
        <v>-2570232</v>
      </c>
      <c r="N203" s="276">
        <f t="shared" si="78"/>
        <v>0</v>
      </c>
      <c r="O203" s="276">
        <f t="shared" si="78"/>
        <v>-128511600</v>
      </c>
      <c r="P203" s="276">
        <v>0</v>
      </c>
      <c r="Q203" s="276">
        <v>0</v>
      </c>
      <c r="R203" s="276">
        <v>0</v>
      </c>
      <c r="S203" s="276">
        <v>0</v>
      </c>
      <c r="T203" s="276">
        <v>0</v>
      </c>
      <c r="U203" s="276">
        <v>0</v>
      </c>
      <c r="V203" s="276">
        <v>0</v>
      </c>
      <c r="W203" s="276">
        <v>0</v>
      </c>
      <c r="X203" s="276">
        <v>0</v>
      </c>
      <c r="Y203" s="276">
        <v>0</v>
      </c>
      <c r="Z203" s="276">
        <v>0</v>
      </c>
      <c r="AA203" s="276">
        <v>0</v>
      </c>
      <c r="AB203" s="276">
        <v>0</v>
      </c>
      <c r="AC203" s="276">
        <v>0</v>
      </c>
      <c r="AD203" s="276">
        <v>0</v>
      </c>
      <c r="AE203" s="276">
        <v>0</v>
      </c>
      <c r="AF203" s="276">
        <v>0</v>
      </c>
      <c r="AG203" s="276">
        <v>0</v>
      </c>
      <c r="AH203" s="276">
        <v>0</v>
      </c>
      <c r="AI203" s="276">
        <v>0</v>
      </c>
      <c r="AJ203" s="276">
        <v>0</v>
      </c>
      <c r="AK203" s="276">
        <v>0</v>
      </c>
      <c r="AL203" s="276">
        <v>0</v>
      </c>
      <c r="AM203" s="276">
        <v>0</v>
      </c>
      <c r="AN203" s="276">
        <v>0</v>
      </c>
      <c r="AO203" s="276">
        <v>0</v>
      </c>
      <c r="AP203" s="276">
        <v>0</v>
      </c>
      <c r="AQ203" s="276">
        <v>0</v>
      </c>
      <c r="AR203" s="276">
        <v>0</v>
      </c>
      <c r="AS203" s="276">
        <v>0</v>
      </c>
      <c r="AT203" s="276">
        <v>0</v>
      </c>
      <c r="AU203" s="276">
        <v>0</v>
      </c>
      <c r="AV203" s="276">
        <v>0</v>
      </c>
      <c r="AW203" s="276">
        <v>0</v>
      </c>
      <c r="AX203" s="276">
        <v>0</v>
      </c>
      <c r="AY203" s="276">
        <v>0</v>
      </c>
      <c r="AZ203" s="278">
        <v>0</v>
      </c>
      <c r="BB203" s="269" t="s">
        <v>171</v>
      </c>
      <c r="BC203" s="270"/>
      <c r="BD203" s="275">
        <f>Z33</f>
        <v>0</v>
      </c>
      <c r="BE203" s="254"/>
      <c r="BF203" s="193">
        <f t="shared" si="75"/>
        <v>0.29526542135238337</v>
      </c>
    </row>
    <row r="204" spans="1:58" x14ac:dyDescent="0.25">
      <c r="A204" s="113">
        <v>8</v>
      </c>
      <c r="B204" s="5">
        <f>SUMIF($AY$52:$BD$192,$A$204*1000+B194,$A$52:$F$192)</f>
        <v>0</v>
      </c>
      <c r="C204" s="5">
        <f>SUMIF($AY$52:$BD$192,$A$204*1000+C194,$A$52:$F$192)</f>
        <v>0</v>
      </c>
      <c r="D204" s="5">
        <f>SUMIF($AY$52:$BD$192,$A$204*1000+D194,$A$52:$F$192)</f>
        <v>0</v>
      </c>
      <c r="E204" s="267">
        <f>SUMIF($AY$52:$BD$192,$A$204*1000+E194,$A$52:$F$192)</f>
        <v>0</v>
      </c>
      <c r="F204" s="276">
        <v>0</v>
      </c>
      <c r="G204" s="276">
        <f t="shared" si="76"/>
        <v>0</v>
      </c>
      <c r="H204" s="276">
        <f t="shared" si="76"/>
        <v>-4200000</v>
      </c>
      <c r="I204" s="276">
        <f t="shared" si="76"/>
        <v>0</v>
      </c>
      <c r="J204" s="276">
        <f t="shared" si="77"/>
        <v>0</v>
      </c>
      <c r="K204" s="288">
        <f t="shared" si="77"/>
        <v>8820000</v>
      </c>
      <c r="L204" s="276">
        <f t="shared" si="77"/>
        <v>0</v>
      </c>
      <c r="M204" s="276">
        <f t="shared" si="78"/>
        <v>0</v>
      </c>
      <c r="N204" s="276">
        <f t="shared" si="78"/>
        <v>-4620000</v>
      </c>
      <c r="O204" s="276">
        <f t="shared" si="78"/>
        <v>0</v>
      </c>
      <c r="P204" s="276">
        <v>0</v>
      </c>
      <c r="Q204" s="276">
        <v>0</v>
      </c>
      <c r="R204" s="276">
        <v>0</v>
      </c>
      <c r="S204" s="276">
        <v>0</v>
      </c>
      <c r="T204" s="276">
        <v>0</v>
      </c>
      <c r="U204" s="276">
        <v>0</v>
      </c>
      <c r="V204" s="276">
        <v>0</v>
      </c>
      <c r="W204" s="276">
        <v>0</v>
      </c>
      <c r="X204" s="276">
        <v>0</v>
      </c>
      <c r="Y204" s="276">
        <v>0</v>
      </c>
      <c r="Z204" s="276">
        <v>0</v>
      </c>
      <c r="AA204" s="276">
        <v>0</v>
      </c>
      <c r="AB204" s="276">
        <v>0</v>
      </c>
      <c r="AC204" s="276">
        <v>0</v>
      </c>
      <c r="AD204" s="276">
        <v>0</v>
      </c>
      <c r="AE204" s="276">
        <v>0</v>
      </c>
      <c r="AF204" s="276">
        <v>0</v>
      </c>
      <c r="AG204" s="276">
        <v>0</v>
      </c>
      <c r="AH204" s="276">
        <v>0</v>
      </c>
      <c r="AI204" s="276">
        <v>0</v>
      </c>
      <c r="AJ204" s="276">
        <v>0</v>
      </c>
      <c r="AK204" s="276">
        <v>0</v>
      </c>
      <c r="AL204" s="276">
        <v>0</v>
      </c>
      <c r="AM204" s="276">
        <v>0</v>
      </c>
      <c r="AN204" s="276">
        <v>0</v>
      </c>
      <c r="AO204" s="276">
        <v>0</v>
      </c>
      <c r="AP204" s="276">
        <v>0</v>
      </c>
      <c r="AQ204" s="276">
        <v>0</v>
      </c>
      <c r="AR204" s="276">
        <v>0</v>
      </c>
      <c r="AS204" s="276">
        <v>0</v>
      </c>
      <c r="AT204" s="276">
        <v>0</v>
      </c>
      <c r="AU204" s="276">
        <v>0</v>
      </c>
      <c r="AV204" s="276">
        <v>0</v>
      </c>
      <c r="AW204" s="276">
        <v>0</v>
      </c>
      <c r="AX204" s="276">
        <v>0</v>
      </c>
      <c r="AY204" s="276">
        <v>0</v>
      </c>
      <c r="AZ204" s="278">
        <v>0</v>
      </c>
      <c r="BB204" s="269" t="s">
        <v>172</v>
      </c>
      <c r="BC204" s="270"/>
      <c r="BD204" s="275">
        <f>AA33</f>
        <v>0</v>
      </c>
      <c r="BE204" s="254"/>
      <c r="BF204" s="193">
        <f t="shared" si="75"/>
        <v>8.4821428571464305E-4</v>
      </c>
    </row>
    <row r="205" spans="1:58" x14ac:dyDescent="0.25">
      <c r="A205" s="113">
        <v>9</v>
      </c>
      <c r="B205" s="5">
        <f>SUMIF($AY$52:$BD$192,$A$205*1000+B194,$A$52:$F$192)</f>
        <v>0</v>
      </c>
      <c r="C205" s="5">
        <f>SUMIF($AY$52:$BD$192,$A$205*1000+C194,$A$52:$F$192)</f>
        <v>0</v>
      </c>
      <c r="D205" s="5">
        <f>SUMIF($AY$52:$BD$192,$A$205*1000+D194,$A$52:$F$192)</f>
        <v>0</v>
      </c>
      <c r="E205" s="267">
        <f>SUMIF($AY$52:$BD$192,$A$205*1000+E194,$A$52:$F$192)</f>
        <v>0</v>
      </c>
      <c r="F205" s="276">
        <v>0</v>
      </c>
      <c r="G205" s="276">
        <f t="shared" si="76"/>
        <v>-80169600</v>
      </c>
      <c r="H205" s="276">
        <f t="shared" si="76"/>
        <v>0</v>
      </c>
      <c r="I205" s="276">
        <f t="shared" si="76"/>
        <v>2672320000</v>
      </c>
      <c r="J205" s="276">
        <f t="shared" si="77"/>
        <v>-48342000</v>
      </c>
      <c r="K205" s="276">
        <f t="shared" si="77"/>
        <v>0</v>
      </c>
      <c r="L205" s="288">
        <f t="shared" si="77"/>
        <v>13912080000</v>
      </c>
      <c r="M205" s="276">
        <f t="shared" si="78"/>
        <v>128511600</v>
      </c>
      <c r="N205" s="276">
        <f t="shared" si="78"/>
        <v>0</v>
      </c>
      <c r="O205" s="276">
        <f t="shared" si="78"/>
        <v>4283720000</v>
      </c>
      <c r="P205" s="276">
        <v>0</v>
      </c>
      <c r="Q205" s="276">
        <v>0</v>
      </c>
      <c r="R205" s="276">
        <v>0</v>
      </c>
      <c r="S205" s="276">
        <v>0</v>
      </c>
      <c r="T205" s="276">
        <v>0</v>
      </c>
      <c r="U205" s="276">
        <v>0</v>
      </c>
      <c r="V205" s="276">
        <v>0</v>
      </c>
      <c r="W205" s="276">
        <v>0</v>
      </c>
      <c r="X205" s="276">
        <v>0</v>
      </c>
      <c r="Y205" s="276">
        <v>0</v>
      </c>
      <c r="Z205" s="276">
        <v>0</v>
      </c>
      <c r="AA205" s="276">
        <v>0</v>
      </c>
      <c r="AB205" s="276">
        <v>0</v>
      </c>
      <c r="AC205" s="276">
        <v>0</v>
      </c>
      <c r="AD205" s="276">
        <v>0</v>
      </c>
      <c r="AE205" s="276">
        <v>0</v>
      </c>
      <c r="AF205" s="276">
        <v>0</v>
      </c>
      <c r="AG205" s="276">
        <v>0</v>
      </c>
      <c r="AH205" s="276">
        <v>0</v>
      </c>
      <c r="AI205" s="276">
        <v>0</v>
      </c>
      <c r="AJ205" s="276">
        <v>0</v>
      </c>
      <c r="AK205" s="276">
        <v>0</v>
      </c>
      <c r="AL205" s="276">
        <v>0</v>
      </c>
      <c r="AM205" s="276">
        <v>0</v>
      </c>
      <c r="AN205" s="276">
        <v>0</v>
      </c>
      <c r="AO205" s="276">
        <v>0</v>
      </c>
      <c r="AP205" s="276">
        <v>0</v>
      </c>
      <c r="AQ205" s="276">
        <v>0</v>
      </c>
      <c r="AR205" s="276">
        <v>0</v>
      </c>
      <c r="AS205" s="276">
        <v>0</v>
      </c>
      <c r="AT205" s="276">
        <v>0</v>
      </c>
      <c r="AU205" s="276">
        <v>0</v>
      </c>
      <c r="AV205" s="276">
        <v>0</v>
      </c>
      <c r="AW205" s="276">
        <v>0</v>
      </c>
      <c r="AX205" s="276">
        <v>0</v>
      </c>
      <c r="AY205" s="276">
        <v>0</v>
      </c>
      <c r="AZ205" s="278">
        <v>0</v>
      </c>
      <c r="BB205" s="269" t="s">
        <v>173</v>
      </c>
      <c r="BC205" s="270"/>
      <c r="BD205" s="275">
        <f>AB33</f>
        <v>0</v>
      </c>
      <c r="BE205" s="254"/>
      <c r="BF205" s="193">
        <f t="shared" si="75"/>
        <v>-1.3417593208373598E-3</v>
      </c>
    </row>
    <row r="206" spans="1:58" x14ac:dyDescent="0.25">
      <c r="A206" s="113">
        <v>10</v>
      </c>
      <c r="B206" s="5">
        <f>SUMIF($AY$52:$BD$192,$A$206*1000+B194,$A$52:$F$192)</f>
        <v>0</v>
      </c>
      <c r="C206" s="5">
        <f>SUMIF($AY$52:$BD$192,$A$206*1000+C194,$A$52:$F$192)</f>
        <v>0</v>
      </c>
      <c r="D206" s="5">
        <f>SUMIF($AY$52:$BD$192,$A$206*1000+D194,$A$52:$F$192)</f>
        <v>0</v>
      </c>
      <c r="E206" s="267">
        <f>SUMIF($AY$52:$BD$192,$A$206*1000+E194,$A$52:$F$192)</f>
        <v>0</v>
      </c>
      <c r="F206" s="276">
        <v>0</v>
      </c>
      <c r="G206" s="276">
        <v>0</v>
      </c>
      <c r="H206" s="276">
        <v>0</v>
      </c>
      <c r="I206" s="276">
        <v>0</v>
      </c>
      <c r="J206" s="276">
        <f t="shared" ref="J206:L208" si="79">A73</f>
        <v>-2570232</v>
      </c>
      <c r="K206" s="276">
        <f t="shared" si="79"/>
        <v>0</v>
      </c>
      <c r="L206" s="276">
        <f t="shared" si="79"/>
        <v>128511600</v>
      </c>
      <c r="M206" s="288">
        <f t="shared" ref="M206:O208" si="80">D73+A79</f>
        <v>6384504</v>
      </c>
      <c r="N206" s="276">
        <f t="shared" si="80"/>
        <v>0</v>
      </c>
      <c r="O206" s="276">
        <f t="shared" si="80"/>
        <v>-62202000</v>
      </c>
      <c r="P206" s="276">
        <f>D79</f>
        <v>-3814272</v>
      </c>
      <c r="Q206" s="276">
        <f>E79</f>
        <v>0</v>
      </c>
      <c r="R206" s="276">
        <f>F79</f>
        <v>-190713600</v>
      </c>
      <c r="S206" s="276">
        <v>0</v>
      </c>
      <c r="T206" s="276">
        <v>0</v>
      </c>
      <c r="U206" s="276">
        <v>0</v>
      </c>
      <c r="V206" s="276">
        <v>0</v>
      </c>
      <c r="W206" s="276">
        <v>0</v>
      </c>
      <c r="X206" s="276">
        <v>0</v>
      </c>
      <c r="Y206" s="276">
        <v>0</v>
      </c>
      <c r="Z206" s="276">
        <v>0</v>
      </c>
      <c r="AA206" s="276">
        <v>0</v>
      </c>
      <c r="AB206" s="276">
        <v>0</v>
      </c>
      <c r="AC206" s="276">
        <v>0</v>
      </c>
      <c r="AD206" s="276">
        <v>0</v>
      </c>
      <c r="AE206" s="276">
        <v>0</v>
      </c>
      <c r="AF206" s="276">
        <v>0</v>
      </c>
      <c r="AG206" s="276">
        <v>0</v>
      </c>
      <c r="AH206" s="276">
        <v>0</v>
      </c>
      <c r="AI206" s="276">
        <v>0</v>
      </c>
      <c r="AJ206" s="276">
        <v>0</v>
      </c>
      <c r="AK206" s="276">
        <v>0</v>
      </c>
      <c r="AL206" s="276">
        <v>0</v>
      </c>
      <c r="AM206" s="276">
        <v>0</v>
      </c>
      <c r="AN206" s="276">
        <v>0</v>
      </c>
      <c r="AO206" s="276">
        <v>0</v>
      </c>
      <c r="AP206" s="276">
        <v>0</v>
      </c>
      <c r="AQ206" s="276">
        <v>0</v>
      </c>
      <c r="AR206" s="276">
        <v>0</v>
      </c>
      <c r="AS206" s="276">
        <v>0</v>
      </c>
      <c r="AT206" s="276">
        <v>0</v>
      </c>
      <c r="AU206" s="276">
        <v>0</v>
      </c>
      <c r="AV206" s="276">
        <v>0</v>
      </c>
      <c r="AW206" s="276">
        <v>0</v>
      </c>
      <c r="AX206" s="276">
        <v>0</v>
      </c>
      <c r="AY206" s="276">
        <v>0</v>
      </c>
      <c r="AZ206" s="278">
        <v>0</v>
      </c>
      <c r="BB206" s="269" t="s">
        <v>174</v>
      </c>
      <c r="BC206" s="270"/>
      <c r="BD206" s="275">
        <f>Z34</f>
        <v>0</v>
      </c>
      <c r="BE206" s="254"/>
      <c r="BF206" s="193">
        <f t="shared" si="75"/>
        <v>0.42276711312298026</v>
      </c>
    </row>
    <row r="207" spans="1:58" x14ac:dyDescent="0.25">
      <c r="A207" s="113">
        <v>11</v>
      </c>
      <c r="B207" s="5">
        <f>SUMIF($AY$52:$BD$192,$A$207*1000+B194,$A$52:$F$192)</f>
        <v>0</v>
      </c>
      <c r="C207" s="5">
        <f>SUMIF($AY$52:$BD$192,$A$207*1000+C194,$A$52:$F$192)</f>
        <v>0</v>
      </c>
      <c r="D207" s="5">
        <f>SUMIF($AY$52:$BD$192,$A$207*1000+D194,$A$52:$F$192)</f>
        <v>0</v>
      </c>
      <c r="E207" s="267">
        <f>SUMIF($AY$52:$BD$192,$A$207*1000+E194,$A$52:$F$192)</f>
        <v>0</v>
      </c>
      <c r="F207" s="276">
        <v>0</v>
      </c>
      <c r="G207" s="276">
        <v>0</v>
      </c>
      <c r="H207" s="276">
        <v>0</v>
      </c>
      <c r="I207" s="276">
        <v>0</v>
      </c>
      <c r="J207" s="276">
        <f t="shared" si="79"/>
        <v>0</v>
      </c>
      <c r="K207" s="276">
        <f t="shared" si="79"/>
        <v>-4620000</v>
      </c>
      <c r="L207" s="276">
        <f t="shared" si="79"/>
        <v>0</v>
      </c>
      <c r="M207" s="276">
        <f t="shared" si="80"/>
        <v>0</v>
      </c>
      <c r="N207" s="288">
        <f t="shared" si="80"/>
        <v>9660000</v>
      </c>
      <c r="O207" s="276">
        <f t="shared" si="80"/>
        <v>0</v>
      </c>
      <c r="P207" s="281">
        <f>D80</f>
        <v>0</v>
      </c>
      <c r="Q207" s="276">
        <f>E80</f>
        <v>-5040000</v>
      </c>
      <c r="R207" s="276">
        <f>B84</f>
        <v>0</v>
      </c>
      <c r="S207" s="276">
        <v>0</v>
      </c>
      <c r="T207" s="276">
        <v>0</v>
      </c>
      <c r="U207" s="276">
        <v>0</v>
      </c>
      <c r="V207" s="276">
        <v>0</v>
      </c>
      <c r="W207" s="276">
        <v>0</v>
      </c>
      <c r="X207" s="276">
        <v>0</v>
      </c>
      <c r="Y207" s="276">
        <v>0</v>
      </c>
      <c r="Z207" s="276">
        <v>0</v>
      </c>
      <c r="AA207" s="276">
        <v>0</v>
      </c>
      <c r="AB207" s="276">
        <v>0</v>
      </c>
      <c r="AC207" s="276">
        <v>0</v>
      </c>
      <c r="AD207" s="276">
        <v>0</v>
      </c>
      <c r="AE207" s="276">
        <v>0</v>
      </c>
      <c r="AF207" s="276">
        <v>0</v>
      </c>
      <c r="AG207" s="276">
        <v>0</v>
      </c>
      <c r="AH207" s="276">
        <v>0</v>
      </c>
      <c r="AI207" s="276">
        <v>0</v>
      </c>
      <c r="AJ207" s="276">
        <v>0</v>
      </c>
      <c r="AK207" s="276">
        <v>0</v>
      </c>
      <c r="AL207" s="276">
        <v>0</v>
      </c>
      <c r="AM207" s="276">
        <v>0</v>
      </c>
      <c r="AN207" s="276">
        <v>0</v>
      </c>
      <c r="AO207" s="276">
        <v>0</v>
      </c>
      <c r="AP207" s="276">
        <v>0</v>
      </c>
      <c r="AQ207" s="276">
        <v>0</v>
      </c>
      <c r="AR207" s="276">
        <v>0</v>
      </c>
      <c r="AS207" s="276">
        <v>0</v>
      </c>
      <c r="AT207" s="276">
        <v>0</v>
      </c>
      <c r="AU207" s="276">
        <v>0</v>
      </c>
      <c r="AV207" s="276">
        <v>0</v>
      </c>
      <c r="AW207" s="276">
        <v>0</v>
      </c>
      <c r="AX207" s="276">
        <v>0</v>
      </c>
      <c r="AY207" s="276">
        <v>0</v>
      </c>
      <c r="AZ207" s="278">
        <v>0</v>
      </c>
      <c r="BB207" s="269" t="s">
        <v>175</v>
      </c>
      <c r="BC207" s="270"/>
      <c r="BD207" s="275">
        <f>AA34</f>
        <v>0</v>
      </c>
      <c r="BE207" s="254"/>
      <c r="BF207" s="193">
        <f t="shared" si="75"/>
        <v>1.2134740259745372E-3</v>
      </c>
    </row>
    <row r="208" spans="1:58" x14ac:dyDescent="0.25">
      <c r="A208" s="113">
        <v>12</v>
      </c>
      <c r="B208" s="5">
        <f>SUMIF($AY$52:$BD$192,$A$208*1000+B194,$A$52:$F$192)</f>
        <v>0</v>
      </c>
      <c r="C208" s="5">
        <f>SUMIF($AY$52:$BD$192,$A$208*1000+C194,$A$52:$F$192)</f>
        <v>0</v>
      </c>
      <c r="D208" s="5">
        <f>SUMIF($AY$52:$BD$192,$A$208*1000+D194,$A$52:$F$192)</f>
        <v>0</v>
      </c>
      <c r="E208" s="267">
        <f>SUMIF($AY$52:$BD$192,$A$208*1000+E194,$A$52:$F$192)</f>
        <v>0</v>
      </c>
      <c r="F208" s="276">
        <v>0</v>
      </c>
      <c r="G208" s="276">
        <v>0</v>
      </c>
      <c r="H208" s="276">
        <v>0</v>
      </c>
      <c r="I208" s="276">
        <v>0</v>
      </c>
      <c r="J208" s="276">
        <f t="shared" si="79"/>
        <v>-128511600</v>
      </c>
      <c r="K208" s="276">
        <f t="shared" si="79"/>
        <v>0</v>
      </c>
      <c r="L208" s="276">
        <f t="shared" si="79"/>
        <v>4283720000</v>
      </c>
      <c r="M208" s="276">
        <f t="shared" si="80"/>
        <v>-62202000</v>
      </c>
      <c r="N208" s="276">
        <f t="shared" si="80"/>
        <v>0</v>
      </c>
      <c r="O208" s="288">
        <f t="shared" si="80"/>
        <v>21281680000</v>
      </c>
      <c r="P208" s="276">
        <f>D81</f>
        <v>190713600</v>
      </c>
      <c r="Q208" s="276">
        <f>E81</f>
        <v>0</v>
      </c>
      <c r="R208" s="276">
        <f>F81</f>
        <v>6357120000</v>
      </c>
      <c r="S208" s="276">
        <v>0</v>
      </c>
      <c r="T208" s="276">
        <v>0</v>
      </c>
      <c r="U208" s="276">
        <v>0</v>
      </c>
      <c r="V208" s="276">
        <v>0</v>
      </c>
      <c r="W208" s="276">
        <v>0</v>
      </c>
      <c r="X208" s="276">
        <v>0</v>
      </c>
      <c r="Y208" s="276">
        <v>0</v>
      </c>
      <c r="Z208" s="276">
        <v>0</v>
      </c>
      <c r="AA208" s="276">
        <v>0</v>
      </c>
      <c r="AB208" s="276">
        <v>0</v>
      </c>
      <c r="AC208" s="276">
        <v>0</v>
      </c>
      <c r="AD208" s="276">
        <v>0</v>
      </c>
      <c r="AE208" s="276">
        <v>0</v>
      </c>
      <c r="AF208" s="276">
        <v>0</v>
      </c>
      <c r="AG208" s="276">
        <v>0</v>
      </c>
      <c r="AH208" s="276">
        <v>0</v>
      </c>
      <c r="AI208" s="276">
        <v>0</v>
      </c>
      <c r="AJ208" s="276">
        <v>0</v>
      </c>
      <c r="AK208" s="276">
        <v>0</v>
      </c>
      <c r="AL208" s="276">
        <v>0</v>
      </c>
      <c r="AM208" s="276">
        <v>0</v>
      </c>
      <c r="AN208" s="276">
        <v>0</v>
      </c>
      <c r="AO208" s="276">
        <v>0</v>
      </c>
      <c r="AP208" s="276">
        <v>0</v>
      </c>
      <c r="AQ208" s="276">
        <v>0</v>
      </c>
      <c r="AR208" s="276">
        <v>0</v>
      </c>
      <c r="AS208" s="276">
        <v>0</v>
      </c>
      <c r="AT208" s="276">
        <v>0</v>
      </c>
      <c r="AU208" s="276">
        <v>0</v>
      </c>
      <c r="AV208" s="276">
        <v>0</v>
      </c>
      <c r="AW208" s="276">
        <v>0</v>
      </c>
      <c r="AX208" s="276">
        <v>0</v>
      </c>
      <c r="AY208" s="276">
        <v>0</v>
      </c>
      <c r="AZ208" s="278">
        <v>0</v>
      </c>
      <c r="BB208" s="269" t="s">
        <v>176</v>
      </c>
      <c r="BC208" s="270"/>
      <c r="BD208" s="275">
        <f>AB34</f>
        <v>0</v>
      </c>
      <c r="BE208" s="254"/>
      <c r="BF208" s="193">
        <f t="shared" si="75"/>
        <v>-1.1987398855558078E-3</v>
      </c>
    </row>
    <row r="209" spans="1:58" x14ac:dyDescent="0.25">
      <c r="A209" s="113">
        <v>13</v>
      </c>
      <c r="B209" s="5">
        <f>SUMIF($AY$52:$BD$192,$A$209*1000+B194,$A$52:$F$192)</f>
        <v>0</v>
      </c>
      <c r="C209" s="5">
        <f>SUMIF($AY$52:$BD$192,$A$209*1000+C194,$A$52:$F$192)</f>
        <v>0</v>
      </c>
      <c r="D209" s="5">
        <f>SUMIF($AY$52:$BD$192,$A$209*1000+D194,$A$52:$F$192)</f>
        <v>0</v>
      </c>
      <c r="E209" s="267">
        <f>SUMIF($AY$52:$BD$192,$A$209*1000+E194,$A$52:$F$192)</f>
        <v>0</v>
      </c>
      <c r="F209" s="276">
        <v>0</v>
      </c>
      <c r="G209" s="276">
        <v>0</v>
      </c>
      <c r="H209" s="276">
        <v>0</v>
      </c>
      <c r="I209" s="276">
        <v>0</v>
      </c>
      <c r="J209" s="276">
        <v>0</v>
      </c>
      <c r="K209" s="276">
        <v>0</v>
      </c>
      <c r="L209" s="276">
        <v>0</v>
      </c>
      <c r="M209" s="276">
        <f t="shared" ref="M209:O211" si="81">A82</f>
        <v>-3814272</v>
      </c>
      <c r="N209" s="276">
        <f t="shared" si="81"/>
        <v>0</v>
      </c>
      <c r="O209" s="276">
        <f t="shared" si="81"/>
        <v>190713600</v>
      </c>
      <c r="P209" s="279">
        <f>SUMIF($AY$52:$BD$192,$A$209*1000+P194,$A$52:$F$192)</f>
        <v>7313421.0169205908</v>
      </c>
      <c r="Q209" s="276">
        <f t="shared" ref="Q209:R211" si="82">E82+B88</f>
        <v>671958.53451505699</v>
      </c>
      <c r="R209" s="276">
        <f t="shared" si="82"/>
        <v>180572164.01424548</v>
      </c>
      <c r="S209" s="276">
        <f t="shared" ref="S209:U211" si="83">D88</f>
        <v>-3499149.0169205903</v>
      </c>
      <c r="T209" s="276">
        <f t="shared" si="83"/>
        <v>-671958.53451505699</v>
      </c>
      <c r="U209" s="276">
        <f t="shared" si="83"/>
        <v>-10141435.985754529</v>
      </c>
      <c r="V209" s="276">
        <v>0</v>
      </c>
      <c r="W209" s="276">
        <v>0</v>
      </c>
      <c r="X209" s="276">
        <v>0</v>
      </c>
      <c r="Y209" s="276">
        <v>0</v>
      </c>
      <c r="Z209" s="276">
        <v>0</v>
      </c>
      <c r="AA209" s="276">
        <v>0</v>
      </c>
      <c r="AB209" s="276">
        <v>0</v>
      </c>
      <c r="AC209" s="276">
        <v>0</v>
      </c>
      <c r="AD209" s="276">
        <v>0</v>
      </c>
      <c r="AE209" s="276">
        <v>0</v>
      </c>
      <c r="AF209" s="276">
        <v>0</v>
      </c>
      <c r="AG209" s="276">
        <v>0</v>
      </c>
      <c r="AH209" s="276">
        <v>0</v>
      </c>
      <c r="AI209" s="276">
        <v>0</v>
      </c>
      <c r="AJ209" s="276">
        <v>0</v>
      </c>
      <c r="AK209" s="276">
        <v>0</v>
      </c>
      <c r="AL209" s="276">
        <v>0</v>
      </c>
      <c r="AM209" s="276">
        <v>0</v>
      </c>
      <c r="AN209" s="276">
        <v>0</v>
      </c>
      <c r="AO209" s="276">
        <v>0</v>
      </c>
      <c r="AP209" s="276">
        <v>0</v>
      </c>
      <c r="AQ209" s="276">
        <v>0</v>
      </c>
      <c r="AR209" s="276">
        <v>0</v>
      </c>
      <c r="AS209" s="276">
        <v>0</v>
      </c>
      <c r="AT209" s="276">
        <v>0</v>
      </c>
      <c r="AU209" s="276">
        <v>0</v>
      </c>
      <c r="AV209" s="276">
        <v>0</v>
      </c>
      <c r="AW209" s="276">
        <v>0</v>
      </c>
      <c r="AX209" s="276">
        <v>0</v>
      </c>
      <c r="AY209" s="276">
        <v>0</v>
      </c>
      <c r="AZ209" s="278">
        <v>0</v>
      </c>
      <c r="BB209" s="269" t="s">
        <v>291</v>
      </c>
      <c r="BC209" s="270"/>
      <c r="BD209" s="275">
        <f>Z35</f>
        <v>0</v>
      </c>
      <c r="BE209" s="254"/>
      <c r="BF209" s="193">
        <f t="shared" si="75"/>
        <v>0.53621622987807804</v>
      </c>
    </row>
    <row r="210" spans="1:58" x14ac:dyDescent="0.25">
      <c r="A210" s="113">
        <v>14</v>
      </c>
      <c r="B210" s="5">
        <f>SUMIF($AY$52:$BD$192,$A$210*1000+B194,$A$52:$F$192)</f>
        <v>0</v>
      </c>
      <c r="C210" s="5">
        <f>SUMIF($AY$52:$BD$192,$A$210*1000+C194,$A$52:$F$192)</f>
        <v>0</v>
      </c>
      <c r="D210" s="5">
        <f>SUMIF($AY$52:$BD$192,$A$210*1000+D194,$A$52:$F$192)</f>
        <v>0</v>
      </c>
      <c r="E210" s="267">
        <f>SUMIF($AY$52:$BD$192,$A$210*1000+E194,$A$52:$F$192)</f>
        <v>0</v>
      </c>
      <c r="F210" s="276">
        <v>0</v>
      </c>
      <c r="G210" s="276">
        <v>0</v>
      </c>
      <c r="H210" s="276">
        <v>0</v>
      </c>
      <c r="I210" s="276">
        <v>0</v>
      </c>
      <c r="J210" s="276">
        <v>0</v>
      </c>
      <c r="K210" s="276">
        <v>0</v>
      </c>
      <c r="L210" s="276">
        <v>0</v>
      </c>
      <c r="M210" s="276">
        <f t="shared" si="81"/>
        <v>0</v>
      </c>
      <c r="N210" s="276">
        <f t="shared" si="81"/>
        <v>-5040000</v>
      </c>
      <c r="O210" s="276">
        <f t="shared" si="81"/>
        <v>0</v>
      </c>
      <c r="P210" s="276">
        <f>D83+A89</f>
        <v>671958.53451505699</v>
      </c>
      <c r="Q210" s="279">
        <f t="shared" si="82"/>
        <v>6019304.5124891261</v>
      </c>
      <c r="R210" s="276">
        <f t="shared" si="82"/>
        <v>40565743.943018116</v>
      </c>
      <c r="S210" s="276">
        <f t="shared" si="83"/>
        <v>-671958.53451505699</v>
      </c>
      <c r="T210" s="276">
        <f t="shared" si="83"/>
        <v>-979304.51248912641</v>
      </c>
      <c r="U210" s="276">
        <f t="shared" si="83"/>
        <v>40565743.943018116</v>
      </c>
      <c r="V210" s="276">
        <v>0</v>
      </c>
      <c r="W210" s="276">
        <v>0</v>
      </c>
      <c r="X210" s="276">
        <v>0</v>
      </c>
      <c r="Y210" s="276">
        <v>0</v>
      </c>
      <c r="Z210" s="276">
        <v>0</v>
      </c>
      <c r="AA210" s="276">
        <v>0</v>
      </c>
      <c r="AB210" s="276">
        <v>0</v>
      </c>
      <c r="AC210" s="276">
        <v>0</v>
      </c>
      <c r="AD210" s="276">
        <v>0</v>
      </c>
      <c r="AE210" s="276">
        <v>0</v>
      </c>
      <c r="AF210" s="276">
        <v>0</v>
      </c>
      <c r="AG210" s="276">
        <v>0</v>
      </c>
      <c r="AH210" s="276">
        <v>0</v>
      </c>
      <c r="AI210" s="276">
        <v>0</v>
      </c>
      <c r="AJ210" s="276">
        <v>0</v>
      </c>
      <c r="AK210" s="276">
        <v>0</v>
      </c>
      <c r="AL210" s="276">
        <v>0</v>
      </c>
      <c r="AM210" s="276">
        <v>0</v>
      </c>
      <c r="AN210" s="276">
        <v>0</v>
      </c>
      <c r="AO210" s="276">
        <v>0</v>
      </c>
      <c r="AP210" s="276">
        <v>0</v>
      </c>
      <c r="AQ210" s="276">
        <v>0</v>
      </c>
      <c r="AR210" s="276">
        <v>0</v>
      </c>
      <c r="AS210" s="276">
        <v>0</v>
      </c>
      <c r="AT210" s="276">
        <v>0</v>
      </c>
      <c r="AU210" s="276">
        <v>0</v>
      </c>
      <c r="AV210" s="276">
        <v>0</v>
      </c>
      <c r="AW210" s="276">
        <v>0</v>
      </c>
      <c r="AX210" s="276">
        <v>0</v>
      </c>
      <c r="AY210" s="276">
        <v>0</v>
      </c>
      <c r="AZ210" s="278">
        <v>0</v>
      </c>
      <c r="BB210" s="269" t="s">
        <v>292</v>
      </c>
      <c r="BC210" s="270"/>
      <c r="BD210" s="269">
        <f>AA35</f>
        <v>0</v>
      </c>
      <c r="BE210" s="254"/>
      <c r="BF210" s="193">
        <f t="shared" si="75"/>
        <v>1.5482954545461068E-3</v>
      </c>
    </row>
    <row r="211" spans="1:58" x14ac:dyDescent="0.25">
      <c r="A211" s="113">
        <v>15</v>
      </c>
      <c r="B211" s="5">
        <f>SUMIF($AY$52:$BD$192,$A$211*1000+B194,$A$52:$F$192)</f>
        <v>0</v>
      </c>
      <c r="C211" s="5">
        <f>SUMIF($AY$52:$BD$192,$A$211*1000+C194,$A$52:$F$192)</f>
        <v>0</v>
      </c>
      <c r="D211" s="5">
        <f>SUMIF($AY$52:$BD$192,$A$211*1000+D194,$A$52:$F$192)</f>
        <v>0</v>
      </c>
      <c r="E211" s="267">
        <f>SUMIF($AY$52:$BD$192,$A$211*1000+E194,$A$52:$F$192)</f>
        <v>0</v>
      </c>
      <c r="F211" s="276">
        <v>0</v>
      </c>
      <c r="G211" s="276">
        <v>0</v>
      </c>
      <c r="H211" s="276">
        <v>0</v>
      </c>
      <c r="I211" s="276">
        <v>0</v>
      </c>
      <c r="J211" s="276">
        <v>0</v>
      </c>
      <c r="K211" s="276">
        <v>0</v>
      </c>
      <c r="L211" s="276">
        <v>0</v>
      </c>
      <c r="M211" s="276">
        <f t="shared" si="81"/>
        <v>-190713600</v>
      </c>
      <c r="N211" s="276">
        <f t="shared" si="81"/>
        <v>0</v>
      </c>
      <c r="O211" s="276">
        <f t="shared" si="81"/>
        <v>6357120000</v>
      </c>
      <c r="P211" s="276">
        <f>D84+A90</f>
        <v>180572164.01424548</v>
      </c>
      <c r="Q211" s="276">
        <f t="shared" si="82"/>
        <v>40565743.943018116</v>
      </c>
      <c r="R211" s="279">
        <f t="shared" si="82"/>
        <v>15587646862.630449</v>
      </c>
      <c r="S211" s="276">
        <f t="shared" si="83"/>
        <v>10141435.985754529</v>
      </c>
      <c r="T211" s="276">
        <f t="shared" si="83"/>
        <v>-40565743.943018116</v>
      </c>
      <c r="U211" s="276">
        <f t="shared" si="83"/>
        <v>1436703431.3152249</v>
      </c>
      <c r="V211" s="276">
        <v>0</v>
      </c>
      <c r="W211" s="276">
        <v>0</v>
      </c>
      <c r="X211" s="276">
        <v>0</v>
      </c>
      <c r="Y211" s="276">
        <v>0</v>
      </c>
      <c r="Z211" s="276">
        <v>0</v>
      </c>
      <c r="AA211" s="276">
        <v>0</v>
      </c>
      <c r="AB211" s="276">
        <v>0</v>
      </c>
      <c r="AC211" s="276">
        <v>0</v>
      </c>
      <c r="AD211" s="276">
        <v>0</v>
      </c>
      <c r="AE211" s="276">
        <v>0</v>
      </c>
      <c r="AF211" s="276">
        <v>0</v>
      </c>
      <c r="AG211" s="276">
        <v>0</v>
      </c>
      <c r="AH211" s="276">
        <v>0</v>
      </c>
      <c r="AI211" s="276">
        <v>0</v>
      </c>
      <c r="AJ211" s="276">
        <v>0</v>
      </c>
      <c r="AK211" s="276">
        <v>0</v>
      </c>
      <c r="AL211" s="276">
        <v>0</v>
      </c>
      <c r="AM211" s="276">
        <v>0</v>
      </c>
      <c r="AN211" s="276">
        <v>0</v>
      </c>
      <c r="AO211" s="276">
        <v>0</v>
      </c>
      <c r="AP211" s="276">
        <v>0</v>
      </c>
      <c r="AQ211" s="276">
        <v>0</v>
      </c>
      <c r="AR211" s="276">
        <v>0</v>
      </c>
      <c r="AS211" s="276">
        <v>0</v>
      </c>
      <c r="AT211" s="276">
        <v>0</v>
      </c>
      <c r="AU211" s="276">
        <v>0</v>
      </c>
      <c r="AV211" s="276">
        <v>0</v>
      </c>
      <c r="AW211" s="276">
        <v>0</v>
      </c>
      <c r="AX211" s="276">
        <v>0</v>
      </c>
      <c r="AY211" s="276">
        <v>0</v>
      </c>
      <c r="AZ211" s="278">
        <v>0</v>
      </c>
      <c r="BB211" s="269" t="s">
        <v>293</v>
      </c>
      <c r="BC211" s="270"/>
      <c r="BD211" s="269">
        <f>AB35</f>
        <v>0</v>
      </c>
      <c r="BE211" s="254"/>
      <c r="BF211" s="193">
        <f t="shared" si="75"/>
        <v>-1.0638175777456641E-3</v>
      </c>
    </row>
    <row r="212" spans="1:58" x14ac:dyDescent="0.25">
      <c r="A212" s="113">
        <v>16</v>
      </c>
      <c r="B212" s="5">
        <f>SUMIF($AY$52:$BD$192,$A$212*1000+B194,$A$52:$F$192)</f>
        <v>0</v>
      </c>
      <c r="C212" s="5">
        <f>SUMIF($AY$52:$BD$192,$A$212*1000+C194,$A$52:$F$192)</f>
        <v>0</v>
      </c>
      <c r="D212" s="5">
        <f>SUMIF($AY$52:$BD$192,$A$212*1000+D194,$A$52:$F$192)</f>
        <v>0</v>
      </c>
      <c r="E212" s="267">
        <f>SUMIF($AY$52:$BD$192,$A$212*1000+E194,$A$52:$F$192)</f>
        <v>0</v>
      </c>
      <c r="F212" s="276">
        <v>0</v>
      </c>
      <c r="G212" s="276">
        <v>0</v>
      </c>
      <c r="H212" s="276">
        <v>0</v>
      </c>
      <c r="I212" s="276">
        <v>0</v>
      </c>
      <c r="J212" s="276">
        <v>0</v>
      </c>
      <c r="K212" s="276">
        <v>0</v>
      </c>
      <c r="L212" s="276">
        <v>0</v>
      </c>
      <c r="M212" s="276">
        <v>0</v>
      </c>
      <c r="N212" s="276">
        <v>0</v>
      </c>
      <c r="O212" s="276">
        <v>0</v>
      </c>
      <c r="P212" s="276">
        <f t="shared" ref="P212:Q214" si="84">A91</f>
        <v>-3499149.0169205903</v>
      </c>
      <c r="Q212" s="276">
        <f t="shared" si="84"/>
        <v>-671958.53451505699</v>
      </c>
      <c r="R212" s="276">
        <f>C91</f>
        <v>10141435.985754529</v>
      </c>
      <c r="S212" s="279">
        <f t="shared" ref="S212:U214" si="85">D91+A97</f>
        <v>6792007.7382649481</v>
      </c>
      <c r="T212" s="276">
        <f t="shared" si="85"/>
        <v>1354158.5512129632</v>
      </c>
      <c r="U212" s="276">
        <f t="shared" si="85"/>
        <v>3090702.8038453553</v>
      </c>
      <c r="V212" s="276">
        <f t="shared" ref="V212:X214" si="86">D97</f>
        <v>-3292858.7213443583</v>
      </c>
      <c r="W212" s="276">
        <f t="shared" si="86"/>
        <v>-682200.01669790607</v>
      </c>
      <c r="X212" s="276">
        <f t="shared" si="86"/>
        <v>-7050733.1819091737</v>
      </c>
      <c r="Y212" s="276">
        <v>0</v>
      </c>
      <c r="Z212" s="276">
        <v>0</v>
      </c>
      <c r="AA212" s="276">
        <v>0</v>
      </c>
      <c r="AB212" s="276">
        <v>0</v>
      </c>
      <c r="AC212" s="276">
        <v>0</v>
      </c>
      <c r="AD212" s="276">
        <v>0</v>
      </c>
      <c r="AE212" s="276">
        <v>0</v>
      </c>
      <c r="AF212" s="276">
        <v>0</v>
      </c>
      <c r="AG212" s="276">
        <v>0</v>
      </c>
      <c r="AH212" s="276">
        <v>0</v>
      </c>
      <c r="AI212" s="276">
        <v>0</v>
      </c>
      <c r="AJ212" s="276">
        <v>0</v>
      </c>
      <c r="AK212" s="276">
        <v>0</v>
      </c>
      <c r="AL212" s="276">
        <v>0</v>
      </c>
      <c r="AM212" s="276">
        <v>0</v>
      </c>
      <c r="AN212" s="276">
        <v>0</v>
      </c>
      <c r="AO212" s="276">
        <v>0</v>
      </c>
      <c r="AP212" s="276">
        <v>0</v>
      </c>
      <c r="AQ212" s="276">
        <v>0</v>
      </c>
      <c r="AR212" s="276">
        <v>0</v>
      </c>
      <c r="AS212" s="276">
        <v>0</v>
      </c>
      <c r="AT212" s="276">
        <v>0</v>
      </c>
      <c r="AU212" s="276">
        <v>0</v>
      </c>
      <c r="AV212" s="276">
        <v>0</v>
      </c>
      <c r="AW212" s="276">
        <v>0</v>
      </c>
      <c r="AX212" s="276">
        <v>0</v>
      </c>
      <c r="AY212" s="276">
        <v>0</v>
      </c>
      <c r="AZ212" s="278">
        <v>0</v>
      </c>
      <c r="BB212" s="269" t="s">
        <v>294</v>
      </c>
      <c r="BC212" s="270"/>
      <c r="BD212" s="269">
        <f>Z36</f>
        <v>0</v>
      </c>
      <c r="BE212" s="254"/>
      <c r="BF212" s="193">
        <f t="shared" si="75"/>
        <v>0.55550692078249475</v>
      </c>
    </row>
    <row r="213" spans="1:58" x14ac:dyDescent="0.25">
      <c r="A213" s="113">
        <v>17</v>
      </c>
      <c r="B213" s="5">
        <f>SUMIF($AY$52:$BD$192,$A$213*1000+B194,$A$52:$F$192)</f>
        <v>0</v>
      </c>
      <c r="C213" s="5">
        <f>SUMIF($AY$52:$BD$192,$A$213*1000+C194,$A$52:$F$192)</f>
        <v>0</v>
      </c>
      <c r="D213" s="5">
        <f>SUMIF($AY$52:$BD$192,$A$213*1000+D194,$A$52:$F$192)</f>
        <v>0</v>
      </c>
      <c r="E213" s="267">
        <f>SUMIF($AY$52:$BD$192,$A$213*1000+E194,$A$52:$F$192)</f>
        <v>0</v>
      </c>
      <c r="F213" s="276">
        <v>0</v>
      </c>
      <c r="G213" s="276">
        <v>0</v>
      </c>
      <c r="H213" s="276">
        <v>0</v>
      </c>
      <c r="I213" s="276">
        <v>0</v>
      </c>
      <c r="J213" s="276">
        <v>0</v>
      </c>
      <c r="K213" s="276">
        <v>0</v>
      </c>
      <c r="L213" s="276">
        <v>0</v>
      </c>
      <c r="M213" s="276">
        <v>0</v>
      </c>
      <c r="N213" s="276">
        <v>0</v>
      </c>
      <c r="O213" s="276">
        <v>0</v>
      </c>
      <c r="P213" s="276">
        <f t="shared" si="84"/>
        <v>-671958.53451505699</v>
      </c>
      <c r="Q213" s="276">
        <f t="shared" si="84"/>
        <v>-979304.51248912641</v>
      </c>
      <c r="R213" s="276">
        <f>C92</f>
        <v>-40565743.943018116</v>
      </c>
      <c r="S213" s="276">
        <f t="shared" si="85"/>
        <v>1354158.5512129632</v>
      </c>
      <c r="T213" s="279">
        <f t="shared" si="85"/>
        <v>1713913.1712163368</v>
      </c>
      <c r="U213" s="276">
        <f t="shared" si="85"/>
        <v>-12362811.215381421</v>
      </c>
      <c r="V213" s="276">
        <f t="shared" si="86"/>
        <v>-682200.01669790607</v>
      </c>
      <c r="W213" s="276">
        <f t="shared" si="86"/>
        <v>-734608.65872721036</v>
      </c>
      <c r="X213" s="276">
        <f t="shared" si="86"/>
        <v>28202932.727636695</v>
      </c>
      <c r="Y213" s="276">
        <v>0</v>
      </c>
      <c r="Z213" s="276">
        <v>0</v>
      </c>
      <c r="AA213" s="276">
        <v>0</v>
      </c>
      <c r="AB213" s="276">
        <v>0</v>
      </c>
      <c r="AC213" s="276">
        <v>0</v>
      </c>
      <c r="AD213" s="276">
        <v>0</v>
      </c>
      <c r="AE213" s="276">
        <v>0</v>
      </c>
      <c r="AF213" s="276">
        <v>0</v>
      </c>
      <c r="AG213" s="276">
        <v>0</v>
      </c>
      <c r="AH213" s="276">
        <v>0</v>
      </c>
      <c r="AI213" s="276">
        <v>0</v>
      </c>
      <c r="AJ213" s="276">
        <v>0</v>
      </c>
      <c r="AK213" s="276">
        <v>0</v>
      </c>
      <c r="AL213" s="276">
        <v>0</v>
      </c>
      <c r="AM213" s="276">
        <v>0</v>
      </c>
      <c r="AN213" s="276">
        <v>0</v>
      </c>
      <c r="AO213" s="276">
        <v>0</v>
      </c>
      <c r="AP213" s="276">
        <v>0</v>
      </c>
      <c r="AQ213" s="276">
        <v>0</v>
      </c>
      <c r="AR213" s="276">
        <v>0</v>
      </c>
      <c r="AS213" s="276">
        <v>0</v>
      </c>
      <c r="AT213" s="276">
        <v>0</v>
      </c>
      <c r="AU213" s="276">
        <v>0</v>
      </c>
      <c r="AV213" s="276">
        <v>0</v>
      </c>
      <c r="AW213" s="276">
        <v>0</v>
      </c>
      <c r="AX213" s="276">
        <v>0</v>
      </c>
      <c r="AY213" s="276">
        <v>0</v>
      </c>
      <c r="AZ213" s="278">
        <v>0</v>
      </c>
      <c r="BB213" s="269" t="s">
        <v>295</v>
      </c>
      <c r="BC213" s="270"/>
      <c r="BD213" s="269">
        <f>AA36</f>
        <v>0</v>
      </c>
      <c r="BE213" s="254"/>
      <c r="BF213" s="193">
        <f>G21</f>
        <v>-7.381776987862855E-2</v>
      </c>
    </row>
    <row r="214" spans="1:58" x14ac:dyDescent="0.25">
      <c r="A214" s="113">
        <v>18</v>
      </c>
      <c r="B214" s="5">
        <f>SUMIF($AY$52:$BD$192,$A$214*1000+B194,$A$52:$F$192)</f>
        <v>0</v>
      </c>
      <c r="C214" s="5">
        <f>SUMIF($AY$52:$BD$192,$A$214*1000+C194,$A$52:$F$192)</f>
        <v>0</v>
      </c>
      <c r="D214" s="5">
        <f>SUMIF($AY$52:$BD$192,$A$214*1000+D194,$A$52:$F$192)</f>
        <v>0</v>
      </c>
      <c r="E214" s="267">
        <f>SUMIF($AY$52:$BD$192,$A$214*1000+E194,$A$52:$F$192)</f>
        <v>0</v>
      </c>
      <c r="F214" s="276">
        <v>0</v>
      </c>
      <c r="G214" s="276">
        <v>0</v>
      </c>
      <c r="H214" s="276">
        <v>0</v>
      </c>
      <c r="I214" s="276">
        <v>0</v>
      </c>
      <c r="J214" s="276">
        <v>0</v>
      </c>
      <c r="K214" s="276">
        <v>0</v>
      </c>
      <c r="L214" s="276">
        <v>0</v>
      </c>
      <c r="M214" s="276">
        <v>0</v>
      </c>
      <c r="N214" s="276">
        <v>0</v>
      </c>
      <c r="O214" s="276">
        <v>0</v>
      </c>
      <c r="P214" s="276">
        <f t="shared" si="84"/>
        <v>-10141435.985754529</v>
      </c>
      <c r="Q214" s="276">
        <f t="shared" si="84"/>
        <v>40565743.943018116</v>
      </c>
      <c r="R214" s="276">
        <f>C93</f>
        <v>1436703431.3152249</v>
      </c>
      <c r="S214" s="276">
        <f t="shared" si="85"/>
        <v>3090702.8038453553</v>
      </c>
      <c r="T214" s="276">
        <f t="shared" si="85"/>
        <v>-12362811.215381421</v>
      </c>
      <c r="U214" s="279">
        <f t="shared" si="85"/>
        <v>4871114597.5047159</v>
      </c>
      <c r="V214" s="276">
        <f t="shared" si="86"/>
        <v>7050733.1819091737</v>
      </c>
      <c r="W214" s="276">
        <f t="shared" si="86"/>
        <v>-28202932.727636695</v>
      </c>
      <c r="X214" s="276">
        <f t="shared" si="86"/>
        <v>998853867.43713295</v>
      </c>
      <c r="Y214" s="276">
        <v>0</v>
      </c>
      <c r="Z214" s="276">
        <v>0</v>
      </c>
      <c r="AA214" s="276">
        <v>0</v>
      </c>
      <c r="AB214" s="276">
        <v>0</v>
      </c>
      <c r="AC214" s="276">
        <v>0</v>
      </c>
      <c r="AD214" s="276">
        <v>0</v>
      </c>
      <c r="AE214" s="276">
        <v>0</v>
      </c>
      <c r="AF214" s="276">
        <v>0</v>
      </c>
      <c r="AG214" s="276">
        <v>0</v>
      </c>
      <c r="AH214" s="276">
        <v>0</v>
      </c>
      <c r="AI214" s="276">
        <v>0</v>
      </c>
      <c r="AJ214" s="276">
        <v>0</v>
      </c>
      <c r="AK214" s="276">
        <v>0</v>
      </c>
      <c r="AL214" s="276">
        <v>0</v>
      </c>
      <c r="AM214" s="276">
        <v>0</v>
      </c>
      <c r="AN214" s="276">
        <v>0</v>
      </c>
      <c r="AO214" s="276">
        <v>0</v>
      </c>
      <c r="AP214" s="276">
        <v>0</v>
      </c>
      <c r="AQ214" s="276">
        <v>0</v>
      </c>
      <c r="AR214" s="276">
        <v>0</v>
      </c>
      <c r="AS214" s="276">
        <v>0</v>
      </c>
      <c r="AT214" s="276">
        <v>0</v>
      </c>
      <c r="AU214" s="276">
        <v>0</v>
      </c>
      <c r="AV214" s="276">
        <v>0</v>
      </c>
      <c r="AW214" s="276">
        <v>0</v>
      </c>
      <c r="AX214" s="276">
        <v>0</v>
      </c>
      <c r="AY214" s="276">
        <v>0</v>
      </c>
      <c r="AZ214" s="278">
        <v>0</v>
      </c>
      <c r="BB214" s="269" t="s">
        <v>296</v>
      </c>
      <c r="BC214" s="270"/>
      <c r="BD214" s="269">
        <f>AB36</f>
        <v>0</v>
      </c>
      <c r="BE214" s="254"/>
      <c r="BF214" s="193">
        <f>G22</f>
        <v>-4.7766243473113489E-4</v>
      </c>
    </row>
    <row r="215" spans="1:58" x14ac:dyDescent="0.25">
      <c r="A215" s="113">
        <v>19</v>
      </c>
      <c r="B215" s="5">
        <f>SUMIF($AY$52:$BD$192,$A$215*1000+B194,$A$52:$F$192)</f>
        <v>0</v>
      </c>
      <c r="C215" s="5">
        <f>SUMIF($AY$52:$BD$192,$A$215*1000+C194,$A$52:$F$192)</f>
        <v>0</v>
      </c>
      <c r="D215" s="5">
        <f>SUMIF($AY$52:$BD$192,$A$215*1000+D194,$A$52:$F$192)</f>
        <v>0</v>
      </c>
      <c r="E215" s="267">
        <f>SUMIF($AY$52:$BD$192,$A$215*1000+E194,$A$52:$F$192)</f>
        <v>0</v>
      </c>
      <c r="F215" s="276">
        <v>0</v>
      </c>
      <c r="G215" s="276">
        <v>0</v>
      </c>
      <c r="H215" s="276">
        <v>0</v>
      </c>
      <c r="I215" s="276">
        <v>0</v>
      </c>
      <c r="J215" s="276">
        <v>0</v>
      </c>
      <c r="K215" s="276">
        <v>0</v>
      </c>
      <c r="L215" s="276">
        <v>0</v>
      </c>
      <c r="M215" s="276">
        <v>0</v>
      </c>
      <c r="N215" s="276">
        <v>0</v>
      </c>
      <c r="O215" s="276">
        <v>0</v>
      </c>
      <c r="P215" s="276">
        <v>0</v>
      </c>
      <c r="Q215" s="276">
        <v>0</v>
      </c>
      <c r="R215" s="276">
        <v>0</v>
      </c>
      <c r="S215" s="276">
        <f t="shared" ref="S215:U217" si="87">A100</f>
        <v>-3292858.7213443583</v>
      </c>
      <c r="T215" s="276">
        <f t="shared" si="87"/>
        <v>-682200.01669790607</v>
      </c>
      <c r="U215" s="276">
        <f t="shared" si="87"/>
        <v>7050733.1819091737</v>
      </c>
      <c r="V215" s="279">
        <f t="shared" ref="V215:X217" si="88">D100+A106</f>
        <v>6382303.3342893859</v>
      </c>
      <c r="W215" s="276">
        <f t="shared" si="88"/>
        <v>1363136.7668710556</v>
      </c>
      <c r="X215" s="276">
        <f t="shared" si="88"/>
        <v>2479513.0287537957</v>
      </c>
      <c r="Y215" s="276">
        <f t="shared" ref="Y215:Z217" si="89">D106</f>
        <v>-3089444.6129450276</v>
      </c>
      <c r="Z215" s="276">
        <f t="shared" si="89"/>
        <v>-680936.7501731494</v>
      </c>
      <c r="AA215" s="276">
        <f>F106</f>
        <v>-4571220.1531553781</v>
      </c>
      <c r="AB215" s="276">
        <v>0</v>
      </c>
      <c r="AC215" s="276">
        <v>0</v>
      </c>
      <c r="AD215" s="276">
        <v>0</v>
      </c>
      <c r="AE215" s="276">
        <v>0</v>
      </c>
      <c r="AF215" s="276">
        <v>0</v>
      </c>
      <c r="AG215" s="276">
        <v>0</v>
      </c>
      <c r="AH215" s="276">
        <v>0</v>
      </c>
      <c r="AI215" s="276">
        <v>0</v>
      </c>
      <c r="AJ215" s="276">
        <v>0</v>
      </c>
      <c r="AK215" s="276">
        <v>0</v>
      </c>
      <c r="AL215" s="276">
        <v>0</v>
      </c>
      <c r="AM215" s="276">
        <v>0</v>
      </c>
      <c r="AN215" s="276">
        <v>0</v>
      </c>
      <c r="AO215" s="276">
        <v>0</v>
      </c>
      <c r="AP215" s="276">
        <v>0</v>
      </c>
      <c r="AQ215" s="276">
        <v>0</v>
      </c>
      <c r="AR215" s="276">
        <v>0</v>
      </c>
      <c r="AS215" s="276">
        <v>0</v>
      </c>
      <c r="AT215" s="276">
        <v>0</v>
      </c>
      <c r="AU215" s="276">
        <v>0</v>
      </c>
      <c r="AV215" s="276">
        <v>0</v>
      </c>
      <c r="AW215" s="276">
        <v>0</v>
      </c>
      <c r="AX215" s="276">
        <v>0</v>
      </c>
      <c r="AY215" s="276">
        <v>0</v>
      </c>
      <c r="AZ215" s="278">
        <v>0</v>
      </c>
      <c r="BB215" s="269" t="s">
        <v>297</v>
      </c>
      <c r="BC215" s="270"/>
      <c r="BD215" s="269">
        <f>Z37</f>
        <v>0</v>
      </c>
      <c r="BE215" s="254"/>
      <c r="BF215" s="193">
        <f>G23</f>
        <v>0.56023812860037348</v>
      </c>
    </row>
    <row r="216" spans="1:58" x14ac:dyDescent="0.25">
      <c r="A216" s="113">
        <v>20</v>
      </c>
      <c r="B216" s="5">
        <f>SUMIF($AY$52:$BD$192,$A$216*1000+B194,$A$52:$F$192)</f>
        <v>0</v>
      </c>
      <c r="C216" s="5">
        <f>SUMIF($AY$52:$BD$192,$A$216*1000+C194,$A$52:$F$192)</f>
        <v>0</v>
      </c>
      <c r="D216" s="5">
        <f>SUMIF($AY$52:$BD$192,$A$216*1000+D194,$A$52:$F$192)</f>
        <v>0</v>
      </c>
      <c r="E216" s="267">
        <f>SUMIF($AY$52:$BD$192,$A$216*1000+E194,$A$52:$F$192)</f>
        <v>0</v>
      </c>
      <c r="F216" s="276">
        <v>0</v>
      </c>
      <c r="G216" s="276">
        <v>0</v>
      </c>
      <c r="H216" s="276">
        <v>0</v>
      </c>
      <c r="I216" s="276">
        <v>0</v>
      </c>
      <c r="J216" s="276">
        <v>0</v>
      </c>
      <c r="K216" s="276">
        <v>0</v>
      </c>
      <c r="L216" s="276">
        <v>0</v>
      </c>
      <c r="M216" s="276">
        <v>0</v>
      </c>
      <c r="N216" s="276">
        <v>0</v>
      </c>
      <c r="O216" s="276">
        <v>0</v>
      </c>
      <c r="P216" s="276">
        <v>0</v>
      </c>
      <c r="Q216" s="276">
        <v>0</v>
      </c>
      <c r="R216" s="276">
        <v>0</v>
      </c>
      <c r="S216" s="276">
        <f t="shared" si="87"/>
        <v>-682200.01669790607</v>
      </c>
      <c r="T216" s="276">
        <f t="shared" si="87"/>
        <v>-734608.65872721036</v>
      </c>
      <c r="U216" s="276">
        <f t="shared" si="87"/>
        <v>-28202932.727636695</v>
      </c>
      <c r="V216" s="276">
        <f t="shared" si="88"/>
        <v>1363136.7668710556</v>
      </c>
      <c r="W216" s="279">
        <f t="shared" si="88"/>
        <v>1270540.4585229279</v>
      </c>
      <c r="X216" s="276">
        <f t="shared" si="88"/>
        <v>-9918052.1150151826</v>
      </c>
      <c r="Y216" s="276">
        <f t="shared" si="89"/>
        <v>-680936.7501731494</v>
      </c>
      <c r="Z216" s="276">
        <f t="shared" si="89"/>
        <v>-535931.79979571758</v>
      </c>
      <c r="AA216" s="276">
        <f>F107</f>
        <v>18284880.612621512</v>
      </c>
      <c r="AB216" s="276">
        <v>0</v>
      </c>
      <c r="AC216" s="276">
        <v>0</v>
      </c>
      <c r="AD216" s="276">
        <v>0</v>
      </c>
      <c r="AE216" s="276">
        <v>0</v>
      </c>
      <c r="AF216" s="276">
        <v>0</v>
      </c>
      <c r="AG216" s="276">
        <v>0</v>
      </c>
      <c r="AH216" s="276">
        <v>0</v>
      </c>
      <c r="AI216" s="276">
        <v>0</v>
      </c>
      <c r="AJ216" s="276">
        <v>0</v>
      </c>
      <c r="AK216" s="276">
        <v>0</v>
      </c>
      <c r="AL216" s="276">
        <v>0</v>
      </c>
      <c r="AM216" s="276">
        <v>0</v>
      </c>
      <c r="AN216" s="276">
        <v>0</v>
      </c>
      <c r="AO216" s="276">
        <v>0</v>
      </c>
      <c r="AP216" s="276">
        <v>0</v>
      </c>
      <c r="AQ216" s="276">
        <v>0</v>
      </c>
      <c r="AR216" s="276">
        <v>0</v>
      </c>
      <c r="AS216" s="276">
        <v>0</v>
      </c>
      <c r="AT216" s="276">
        <v>0</v>
      </c>
      <c r="AU216" s="276">
        <v>0</v>
      </c>
      <c r="AV216" s="276">
        <v>0</v>
      </c>
      <c r="AW216" s="276">
        <v>0</v>
      </c>
      <c r="AX216" s="276">
        <v>0</v>
      </c>
      <c r="AY216" s="276">
        <v>0</v>
      </c>
      <c r="AZ216" s="278">
        <v>0</v>
      </c>
      <c r="BB216" s="269" t="s">
        <v>298</v>
      </c>
      <c r="BC216" s="270"/>
      <c r="BD216" s="269">
        <f>AA37</f>
        <v>0</v>
      </c>
      <c r="BE216" s="254"/>
      <c r="BF216" s="193">
        <f>G24</f>
        <v>-9.0840214731269825E-2</v>
      </c>
    </row>
    <row r="217" spans="1:58" x14ac:dyDescent="0.25">
      <c r="A217" s="113">
        <v>21</v>
      </c>
      <c r="B217" s="5">
        <f>SUMIF($AY$52:$BD$192,$A$217*1000+B194,$A$52:$F$192)</f>
        <v>0</v>
      </c>
      <c r="C217" s="5">
        <f>SUMIF($AY$52:$BD$192,$A$217*1000+C194,$A$52:$F$192)</f>
        <v>0</v>
      </c>
      <c r="D217" s="5">
        <f>SUMIF($AY$52:$BD$192,$A$217*1000+D194,$A$52:$F$192)</f>
        <v>0</v>
      </c>
      <c r="E217" s="267">
        <f>SUMIF($AY$52:$BD$192,$A$217*1000+E194,$A$52:$F$192)</f>
        <v>0</v>
      </c>
      <c r="F217" s="276">
        <v>0</v>
      </c>
      <c r="G217" s="276">
        <v>0</v>
      </c>
      <c r="H217" s="276">
        <v>0</v>
      </c>
      <c r="I217" s="276">
        <v>0</v>
      </c>
      <c r="J217" s="276">
        <v>0</v>
      </c>
      <c r="K217" s="276">
        <v>0</v>
      </c>
      <c r="L217" s="276">
        <v>0</v>
      </c>
      <c r="M217" s="276">
        <v>0</v>
      </c>
      <c r="N217" s="276">
        <v>0</v>
      </c>
      <c r="O217" s="276">
        <v>0</v>
      </c>
      <c r="P217" s="276">
        <v>0</v>
      </c>
      <c r="Q217" s="276">
        <v>0</v>
      </c>
      <c r="R217" s="276">
        <v>0</v>
      </c>
      <c r="S217" s="276">
        <f t="shared" si="87"/>
        <v>-7050733.1819091737</v>
      </c>
      <c r="T217" s="276">
        <f t="shared" si="87"/>
        <v>28202932.727636695</v>
      </c>
      <c r="U217" s="276">
        <f t="shared" si="87"/>
        <v>998853867.43713295</v>
      </c>
      <c r="V217" s="276">
        <f t="shared" si="88"/>
        <v>2479513.0287537957</v>
      </c>
      <c r="W217" s="276">
        <f t="shared" si="88"/>
        <v>-9918052.1150151826</v>
      </c>
      <c r="X217" s="279">
        <f t="shared" si="88"/>
        <v>3292886778.2682896</v>
      </c>
      <c r="Y217" s="276">
        <f t="shared" si="89"/>
        <v>4571220.1531553781</v>
      </c>
      <c r="Z217" s="276">
        <f t="shared" si="89"/>
        <v>-18284880.612621512</v>
      </c>
      <c r="AA217" s="276">
        <f>F108</f>
        <v>647589521.69701195</v>
      </c>
      <c r="AB217" s="276">
        <v>0</v>
      </c>
      <c r="AC217" s="276">
        <v>0</v>
      </c>
      <c r="AD217" s="276">
        <v>0</v>
      </c>
      <c r="AE217" s="276">
        <v>0</v>
      </c>
      <c r="AF217" s="276">
        <v>0</v>
      </c>
      <c r="AG217" s="276">
        <v>0</v>
      </c>
      <c r="AH217" s="276">
        <v>0</v>
      </c>
      <c r="AI217" s="276">
        <v>0</v>
      </c>
      <c r="AJ217" s="276">
        <v>0</v>
      </c>
      <c r="AK217" s="276">
        <v>0</v>
      </c>
      <c r="AL217" s="276">
        <v>0</v>
      </c>
      <c r="AM217" s="276">
        <v>0</v>
      </c>
      <c r="AN217" s="276">
        <v>0</v>
      </c>
      <c r="AO217" s="276">
        <v>0</v>
      </c>
      <c r="AP217" s="276">
        <v>0</v>
      </c>
      <c r="AQ217" s="276">
        <v>0</v>
      </c>
      <c r="AR217" s="276">
        <v>0</v>
      </c>
      <c r="AS217" s="276">
        <v>0</v>
      </c>
      <c r="AT217" s="276">
        <v>0</v>
      </c>
      <c r="AU217" s="276">
        <v>0</v>
      </c>
      <c r="AV217" s="276">
        <v>0</v>
      </c>
      <c r="AW217" s="276">
        <v>0</v>
      </c>
      <c r="AX217" s="276">
        <v>0</v>
      </c>
      <c r="AY217" s="276">
        <v>0</v>
      </c>
      <c r="AZ217" s="278">
        <v>0</v>
      </c>
      <c r="BB217" s="269" t="s">
        <v>299</v>
      </c>
      <c r="BC217" s="270"/>
      <c r="BD217" s="269">
        <f>AB37</f>
        <v>0</v>
      </c>
      <c r="BE217" s="254"/>
      <c r="BF217" s="193">
        <f>G25</f>
        <v>8.888352882838425E-5</v>
      </c>
    </row>
    <row r="218" spans="1:58" x14ac:dyDescent="0.25">
      <c r="A218" s="113">
        <v>22</v>
      </c>
      <c r="B218" s="5">
        <f>SUMIF($AY$52:$BD$192,$A$218*1000+B194,$A$52:$F$192)</f>
        <v>0</v>
      </c>
      <c r="C218" s="5">
        <f>SUMIF($AY$52:$BD$192,$A$218*1000+C194,$A$52:$F$192)</f>
        <v>0</v>
      </c>
      <c r="D218" s="5">
        <f>SUMIF($AY$52:$BD$192,$A$218*1000+D194,$A$52:$F$192)</f>
        <v>0</v>
      </c>
      <c r="E218" s="267">
        <f>SUMIF($AY$52:$BD$192,$A$218*1000+E194,$A$52:$F$192)</f>
        <v>0</v>
      </c>
      <c r="F218" s="276">
        <v>0</v>
      </c>
      <c r="G218" s="276">
        <v>0</v>
      </c>
      <c r="H218" s="276">
        <v>0</v>
      </c>
      <c r="I218" s="276">
        <v>0</v>
      </c>
      <c r="J218" s="276">
        <v>0</v>
      </c>
      <c r="K218" s="276">
        <v>0</v>
      </c>
      <c r="L218" s="276">
        <v>0</v>
      </c>
      <c r="M218" s="276">
        <v>0</v>
      </c>
      <c r="N218" s="276">
        <v>0</v>
      </c>
      <c r="O218" s="276">
        <v>0</v>
      </c>
      <c r="P218" s="276">
        <v>0</v>
      </c>
      <c r="Q218" s="276">
        <v>0</v>
      </c>
      <c r="R218" s="276">
        <v>0</v>
      </c>
      <c r="S218" s="276">
        <v>0</v>
      </c>
      <c r="T218" s="276">
        <v>0</v>
      </c>
      <c r="U218" s="276">
        <v>0</v>
      </c>
      <c r="V218" s="276">
        <f t="shared" ref="V218:X220" si="90">A109</f>
        <v>-3089444.6129450276</v>
      </c>
      <c r="W218" s="276">
        <f t="shared" si="90"/>
        <v>-680936.7501731494</v>
      </c>
      <c r="X218" s="276">
        <f t="shared" si="90"/>
        <v>4571220.1531553781</v>
      </c>
      <c r="Y218" s="279">
        <f t="shared" ref="Y218:AA220" si="91">D109+A115</f>
        <v>6178889.2258900553</v>
      </c>
      <c r="Z218" s="276">
        <f t="shared" si="91"/>
        <v>1361873.5003462988</v>
      </c>
      <c r="AA218" s="276">
        <f t="shared" si="91"/>
        <v>0</v>
      </c>
      <c r="AB218" s="276">
        <f t="shared" ref="AB218:AD220" si="92">D115</f>
        <v>-3089444.6129450276</v>
      </c>
      <c r="AC218" s="276">
        <f t="shared" si="92"/>
        <v>-680936.7501731494</v>
      </c>
      <c r="AD218" s="276">
        <f t="shared" si="92"/>
        <v>-4571220.1531553781</v>
      </c>
      <c r="AE218" s="276">
        <v>0</v>
      </c>
      <c r="AF218" s="276">
        <v>0</v>
      </c>
      <c r="AG218" s="276">
        <v>0</v>
      </c>
      <c r="AH218" s="276">
        <v>0</v>
      </c>
      <c r="AI218" s="276">
        <v>0</v>
      </c>
      <c r="AJ218" s="276">
        <v>0</v>
      </c>
      <c r="AK218" s="276">
        <v>0</v>
      </c>
      <c r="AL218" s="276">
        <v>0</v>
      </c>
      <c r="AM218" s="276">
        <v>0</v>
      </c>
      <c r="AN218" s="276">
        <v>0</v>
      </c>
      <c r="AO218" s="276">
        <v>0</v>
      </c>
      <c r="AP218" s="276">
        <v>0</v>
      </c>
      <c r="AQ218" s="276">
        <v>0</v>
      </c>
      <c r="AR218" s="276">
        <v>0</v>
      </c>
      <c r="AS218" s="276">
        <v>0</v>
      </c>
      <c r="AT218" s="276">
        <v>0</v>
      </c>
      <c r="AU218" s="276">
        <v>0</v>
      </c>
      <c r="AV218" s="276">
        <v>0</v>
      </c>
      <c r="AW218" s="276">
        <v>0</v>
      </c>
      <c r="AX218" s="276">
        <v>0</v>
      </c>
      <c r="AY218" s="276">
        <v>0</v>
      </c>
      <c r="AZ218" s="278">
        <v>0</v>
      </c>
      <c r="BB218" s="269" t="s">
        <v>300</v>
      </c>
      <c r="BC218" s="270"/>
      <c r="BD218" s="269">
        <f>Z38</f>
        <v>0</v>
      </c>
      <c r="BE218" s="254"/>
      <c r="BF218" s="193">
        <f>K7</f>
        <v>0.55201181417977163</v>
      </c>
    </row>
    <row r="219" spans="1:58" x14ac:dyDescent="0.25">
      <c r="A219" s="113">
        <v>23</v>
      </c>
      <c r="B219" s="5">
        <f>SUMIF($AY$52:$BD$192,$A$219*1000+B194,$A$52:$F$192)</f>
        <v>0</v>
      </c>
      <c r="C219" s="5">
        <f>SUMIF($AY$52:$BD$192,$A$219*1000+C194,$A$52:$F$192)</f>
        <v>0</v>
      </c>
      <c r="D219" s="5">
        <f>SUMIF($AY$52:$BD$192,$A$219*1000+D194,$A$52:$F$192)</f>
        <v>0</v>
      </c>
      <c r="E219" s="267">
        <f>SUMIF($AY$52:$BD$192,$A$219*1000+E194,$A$52:$F$192)</f>
        <v>0</v>
      </c>
      <c r="F219" s="276">
        <v>0</v>
      </c>
      <c r="G219" s="276">
        <v>0</v>
      </c>
      <c r="H219" s="276">
        <v>0</v>
      </c>
      <c r="I219" s="276">
        <v>0</v>
      </c>
      <c r="J219" s="276">
        <v>0</v>
      </c>
      <c r="K219" s="276">
        <v>0</v>
      </c>
      <c r="L219" s="276">
        <v>0</v>
      </c>
      <c r="M219" s="276">
        <v>0</v>
      </c>
      <c r="N219" s="276">
        <v>0</v>
      </c>
      <c r="O219" s="276">
        <v>0</v>
      </c>
      <c r="P219" s="276">
        <v>0</v>
      </c>
      <c r="Q219" s="276">
        <v>0</v>
      </c>
      <c r="R219" s="276">
        <v>0</v>
      </c>
      <c r="S219" s="276">
        <v>0</v>
      </c>
      <c r="T219" s="276">
        <v>0</v>
      </c>
      <c r="U219" s="276">
        <v>0</v>
      </c>
      <c r="V219" s="276">
        <f t="shared" si="90"/>
        <v>-680936.7501731494</v>
      </c>
      <c r="W219" s="276">
        <f t="shared" si="90"/>
        <v>-535931.79979571758</v>
      </c>
      <c r="X219" s="276">
        <f t="shared" si="90"/>
        <v>-18284880.612621512</v>
      </c>
      <c r="Y219" s="276">
        <f t="shared" si="91"/>
        <v>1361873.5003462988</v>
      </c>
      <c r="Z219" s="279">
        <f t="shared" si="91"/>
        <v>1071863.5995914352</v>
      </c>
      <c r="AA219" s="276">
        <f t="shared" si="91"/>
        <v>0</v>
      </c>
      <c r="AB219" s="276">
        <f t="shared" si="92"/>
        <v>-680936.7501731494</v>
      </c>
      <c r="AC219" s="276">
        <f t="shared" si="92"/>
        <v>-535931.79979571758</v>
      </c>
      <c r="AD219" s="276">
        <f t="shared" si="92"/>
        <v>18284880.612621512</v>
      </c>
      <c r="AE219" s="276">
        <v>0</v>
      </c>
      <c r="AF219" s="276">
        <v>0</v>
      </c>
      <c r="AG219" s="276">
        <v>0</v>
      </c>
      <c r="AH219" s="276">
        <v>0</v>
      </c>
      <c r="AI219" s="276">
        <v>0</v>
      </c>
      <c r="AJ219" s="276">
        <v>0</v>
      </c>
      <c r="AK219" s="276">
        <v>0</v>
      </c>
      <c r="AL219" s="276">
        <v>0</v>
      </c>
      <c r="AM219" s="276">
        <v>0</v>
      </c>
      <c r="AN219" s="276">
        <v>0</v>
      </c>
      <c r="AO219" s="276">
        <v>0</v>
      </c>
      <c r="AP219" s="276">
        <v>0</v>
      </c>
      <c r="AQ219" s="276">
        <v>0</v>
      </c>
      <c r="AR219" s="276">
        <v>0</v>
      </c>
      <c r="AS219" s="276">
        <v>0</v>
      </c>
      <c r="AT219" s="276">
        <v>0</v>
      </c>
      <c r="AU219" s="276">
        <v>0</v>
      </c>
      <c r="AV219" s="276">
        <v>0</v>
      </c>
      <c r="AW219" s="276">
        <v>0</v>
      </c>
      <c r="AX219" s="276">
        <v>0</v>
      </c>
      <c r="AY219" s="276">
        <v>0</v>
      </c>
      <c r="AZ219" s="278">
        <v>0</v>
      </c>
      <c r="BB219" s="269" t="s">
        <v>301</v>
      </c>
      <c r="BC219" s="270"/>
      <c r="BD219" s="269">
        <f>AA38</f>
        <v>0</v>
      </c>
      <c r="BE219" s="254"/>
      <c r="BF219" s="193">
        <f>K8</f>
        <v>-5.5913671478809691E-2</v>
      </c>
    </row>
    <row r="220" spans="1:58" x14ac:dyDescent="0.25">
      <c r="A220" s="113">
        <v>24</v>
      </c>
      <c r="B220" s="5">
        <f>SUMIF($AY$52:$BD$192,$A$220*1000+B194,$A$52:$F$192)</f>
        <v>0</v>
      </c>
      <c r="C220" s="5">
        <f>SUMIF($AY$52:$BD$192,$A$220*1000+C194,$A$52:$F$192)</f>
        <v>0</v>
      </c>
      <c r="D220" s="5">
        <f>SUMIF($AY$52:$BD$192,$A$220*1000+D194,$A$52:$F$192)</f>
        <v>0</v>
      </c>
      <c r="E220" s="267">
        <f>SUMIF($AY$52:$BD$192,$A$220*1000+E194,$A$52:$F$192)</f>
        <v>0</v>
      </c>
      <c r="F220" s="276">
        <v>0</v>
      </c>
      <c r="G220" s="276">
        <v>0</v>
      </c>
      <c r="H220" s="276">
        <v>0</v>
      </c>
      <c r="I220" s="276">
        <v>0</v>
      </c>
      <c r="J220" s="276">
        <v>0</v>
      </c>
      <c r="K220" s="276">
        <v>0</v>
      </c>
      <c r="L220" s="276">
        <v>0</v>
      </c>
      <c r="M220" s="276">
        <v>0</v>
      </c>
      <c r="N220" s="276">
        <v>0</v>
      </c>
      <c r="O220" s="276">
        <v>0</v>
      </c>
      <c r="P220" s="276">
        <v>0</v>
      </c>
      <c r="Q220" s="276">
        <v>0</v>
      </c>
      <c r="R220" s="276">
        <v>0</v>
      </c>
      <c r="S220" s="276">
        <v>0</v>
      </c>
      <c r="T220" s="276">
        <v>0</v>
      </c>
      <c r="U220" s="276">
        <v>0</v>
      </c>
      <c r="V220" s="276">
        <f t="shared" si="90"/>
        <v>-4571220.1531553781</v>
      </c>
      <c r="W220" s="276">
        <f t="shared" si="90"/>
        <v>18284880.612621512</v>
      </c>
      <c r="X220" s="276">
        <f t="shared" si="90"/>
        <v>647589521.69701195</v>
      </c>
      <c r="Y220" s="276">
        <f t="shared" si="91"/>
        <v>0</v>
      </c>
      <c r="Z220" s="276">
        <f t="shared" si="91"/>
        <v>0</v>
      </c>
      <c r="AA220" s="279">
        <f t="shared" si="91"/>
        <v>2590358086.7880478</v>
      </c>
      <c r="AB220" s="276">
        <f t="shared" si="92"/>
        <v>4571220.1531553781</v>
      </c>
      <c r="AC220" s="276">
        <f t="shared" si="92"/>
        <v>-18284880.612621512</v>
      </c>
      <c r="AD220" s="276">
        <f t="shared" si="92"/>
        <v>647589521.69701195</v>
      </c>
      <c r="AE220" s="276">
        <v>0</v>
      </c>
      <c r="AF220" s="276">
        <v>0</v>
      </c>
      <c r="AG220" s="276">
        <v>0</v>
      </c>
      <c r="AH220" s="276">
        <v>0</v>
      </c>
      <c r="AI220" s="276">
        <v>0</v>
      </c>
      <c r="AJ220" s="276">
        <v>0</v>
      </c>
      <c r="AK220" s="276">
        <v>0</v>
      </c>
      <c r="AL220" s="276">
        <v>0</v>
      </c>
      <c r="AM220" s="276">
        <v>0</v>
      </c>
      <c r="AN220" s="276">
        <v>0</v>
      </c>
      <c r="AO220" s="276">
        <v>0</v>
      </c>
      <c r="AP220" s="276">
        <v>0</v>
      </c>
      <c r="AQ220" s="276">
        <v>0</v>
      </c>
      <c r="AR220" s="276">
        <v>0</v>
      </c>
      <c r="AS220" s="276">
        <v>0</v>
      </c>
      <c r="AT220" s="276">
        <v>0</v>
      </c>
      <c r="AU220" s="276">
        <v>0</v>
      </c>
      <c r="AV220" s="276">
        <v>0</v>
      </c>
      <c r="AW220" s="276">
        <v>0</v>
      </c>
      <c r="AX220" s="276">
        <v>0</v>
      </c>
      <c r="AY220" s="276">
        <v>0</v>
      </c>
      <c r="AZ220" s="278">
        <v>0</v>
      </c>
      <c r="BA220" s="319" t="s">
        <v>287</v>
      </c>
      <c r="BB220" s="269" t="s">
        <v>302</v>
      </c>
      <c r="BC220" s="319" t="s">
        <v>127</v>
      </c>
      <c r="BD220" s="269">
        <f>AB38</f>
        <v>0</v>
      </c>
      <c r="BE220" s="321" t="str">
        <f>"D="</f>
        <v>D=</v>
      </c>
      <c r="BF220" s="193">
        <f t="shared" ref="BF220:BF236" si="93">K9</f>
        <v>5.3617635647251977E-4</v>
      </c>
    </row>
    <row r="221" spans="1:58" x14ac:dyDescent="0.25">
      <c r="A221" s="113">
        <v>25</v>
      </c>
      <c r="B221" s="5">
        <f>SUMIF($AY$52:$BD$192,$A$221*1000+B194,$A$52:$F$192)</f>
        <v>0</v>
      </c>
      <c r="C221" s="5">
        <f>SUMIF($AY$52:$BD$192,$A$221*1000+C194,$A$52:$F$192)</f>
        <v>0</v>
      </c>
      <c r="D221" s="5">
        <f>SUMIF($AY$52:$BD$192,$A$221*1000+D194,$A$52:$F$192)</f>
        <v>0</v>
      </c>
      <c r="E221" s="267">
        <f>SUMIF($AY$52:$BD$192,$A$221*1000+E194,$A$52:$F$192)</f>
        <v>0</v>
      </c>
      <c r="F221" s="276">
        <v>0</v>
      </c>
      <c r="G221" s="276">
        <v>0</v>
      </c>
      <c r="H221" s="276">
        <v>0</v>
      </c>
      <c r="I221" s="276">
        <v>0</v>
      </c>
      <c r="J221" s="276">
        <v>0</v>
      </c>
      <c r="K221" s="276">
        <v>0</v>
      </c>
      <c r="L221" s="276">
        <v>0</v>
      </c>
      <c r="M221" s="276">
        <v>0</v>
      </c>
      <c r="N221" s="276">
        <v>0</v>
      </c>
      <c r="O221" s="276">
        <v>0</v>
      </c>
      <c r="P221" s="276">
        <v>0</v>
      </c>
      <c r="Q221" s="276">
        <v>0</v>
      </c>
      <c r="R221" s="276">
        <v>0</v>
      </c>
      <c r="S221" s="276">
        <v>0</v>
      </c>
      <c r="T221" s="276">
        <v>0</v>
      </c>
      <c r="U221" s="276">
        <v>0</v>
      </c>
      <c r="V221" s="276">
        <v>0</v>
      </c>
      <c r="W221" s="276">
        <v>0</v>
      </c>
      <c r="X221" s="276">
        <v>0</v>
      </c>
      <c r="Y221" s="276">
        <f t="shared" ref="Y221:Z223" si="94">A118</f>
        <v>-3089444.6129450276</v>
      </c>
      <c r="Z221" s="276">
        <f t="shared" si="94"/>
        <v>-680936.7501731494</v>
      </c>
      <c r="AA221" s="276">
        <f>C118</f>
        <v>4571220.1531553781</v>
      </c>
      <c r="AB221" s="279">
        <f>SUMIF($AY$52:$BD$192,$A$221*1000+AB194,$A$52:$F$192)</f>
        <v>7896209.8329736153</v>
      </c>
      <c r="AC221" s="276">
        <f t="shared" ref="AC221:AD223" si="95">E118+B124</f>
        <v>349924.82735761069</v>
      </c>
      <c r="AD221" s="276">
        <f t="shared" si="95"/>
        <v>48105189.262735792</v>
      </c>
      <c r="AE221" s="276">
        <f t="shared" ref="AE221:AG223" si="96">D124</f>
        <v>-4806765.2200285876</v>
      </c>
      <c r="AF221" s="276">
        <f t="shared" si="96"/>
        <v>331011.92281553871</v>
      </c>
      <c r="AG221" s="276">
        <f t="shared" si="96"/>
        <v>43533969.109580413</v>
      </c>
      <c r="AH221" s="276">
        <v>0</v>
      </c>
      <c r="AI221" s="276">
        <v>0</v>
      </c>
      <c r="AJ221" s="276">
        <v>0</v>
      </c>
      <c r="AK221" s="276">
        <v>0</v>
      </c>
      <c r="AL221" s="276">
        <v>0</v>
      </c>
      <c r="AM221" s="276">
        <v>0</v>
      </c>
      <c r="AN221" s="276">
        <v>0</v>
      </c>
      <c r="AO221" s="276">
        <v>0</v>
      </c>
      <c r="AP221" s="276">
        <v>0</v>
      </c>
      <c r="AQ221" s="276">
        <v>0</v>
      </c>
      <c r="AR221" s="276">
        <v>0</v>
      </c>
      <c r="AS221" s="276">
        <v>0</v>
      </c>
      <c r="AT221" s="276">
        <v>0</v>
      </c>
      <c r="AU221" s="276">
        <v>0</v>
      </c>
      <c r="AV221" s="276">
        <v>0</v>
      </c>
      <c r="AW221" s="276">
        <v>0</v>
      </c>
      <c r="AX221" s="276">
        <v>0</v>
      </c>
      <c r="AY221" s="276">
        <v>0</v>
      </c>
      <c r="AZ221" s="278">
        <v>0</v>
      </c>
      <c r="BB221" s="269" t="s">
        <v>303</v>
      </c>
      <c r="BC221" s="270"/>
      <c r="BD221" s="269">
        <f>Z39</f>
        <v>2500</v>
      </c>
      <c r="BE221" s="320"/>
      <c r="BF221" s="193">
        <f t="shared" si="93"/>
        <v>0.53793515382241941</v>
      </c>
    </row>
    <row r="222" spans="1:58" x14ac:dyDescent="0.25">
      <c r="A222" s="113">
        <v>26</v>
      </c>
      <c r="B222" s="5">
        <f>SUMIF($AY$52:$BD$192,$A$222*1000+B194,$A$52:$F$192)</f>
        <v>0</v>
      </c>
      <c r="C222" s="5">
        <f>SUMIF($AY$52:$BD$192,$A$222*1000+C194,$A$52:$F$192)</f>
        <v>0</v>
      </c>
      <c r="D222" s="5">
        <f>SUMIF($AY$52:$BD$192,$A$222*1000+D194,$A$52:$F$192)</f>
        <v>0</v>
      </c>
      <c r="E222" s="267">
        <f>SUMIF($AY$52:$BD$192,$A$222*1000+E194,$A$52:$F$192)</f>
        <v>0</v>
      </c>
      <c r="F222" s="276">
        <v>0</v>
      </c>
      <c r="G222" s="276">
        <v>0</v>
      </c>
      <c r="H222" s="276">
        <v>0</v>
      </c>
      <c r="I222" s="276">
        <v>0</v>
      </c>
      <c r="J222" s="276">
        <v>0</v>
      </c>
      <c r="K222" s="276">
        <v>0</v>
      </c>
      <c r="L222" s="276">
        <v>0</v>
      </c>
      <c r="M222" s="276">
        <v>0</v>
      </c>
      <c r="N222" s="276">
        <v>0</v>
      </c>
      <c r="O222" s="276">
        <v>0</v>
      </c>
      <c r="P222" s="276">
        <v>0</v>
      </c>
      <c r="Q222" s="276">
        <v>0</v>
      </c>
      <c r="R222" s="276">
        <v>0</v>
      </c>
      <c r="S222" s="276">
        <v>0</v>
      </c>
      <c r="T222" s="276">
        <v>0</v>
      </c>
      <c r="U222" s="276">
        <v>0</v>
      </c>
      <c r="V222" s="276">
        <v>0</v>
      </c>
      <c r="W222" s="276">
        <v>0</v>
      </c>
      <c r="X222" s="276">
        <v>0</v>
      </c>
      <c r="Y222" s="276">
        <f t="shared" si="94"/>
        <v>-680936.7501731494</v>
      </c>
      <c r="Z222" s="276">
        <f t="shared" si="94"/>
        <v>-535931.79979571758</v>
      </c>
      <c r="AA222" s="276">
        <f>C119</f>
        <v>-18284880.612621512</v>
      </c>
      <c r="AB222" s="276">
        <f>D119+A125</f>
        <v>349924.82735761069</v>
      </c>
      <c r="AC222" s="279">
        <f t="shared" si="95"/>
        <v>4101402.309266035</v>
      </c>
      <c r="AD222" s="276">
        <f t="shared" si="95"/>
        <v>155850995.82570013</v>
      </c>
      <c r="AE222" s="276">
        <f t="shared" si="96"/>
        <v>331011.92281553871</v>
      </c>
      <c r="AF222" s="276">
        <f t="shared" si="96"/>
        <v>-3565470.5094703175</v>
      </c>
      <c r="AG222" s="276">
        <f t="shared" si="96"/>
        <v>174135876.43832165</v>
      </c>
      <c r="AH222" s="276">
        <v>0</v>
      </c>
      <c r="AI222" s="276">
        <v>0</v>
      </c>
      <c r="AJ222" s="276">
        <v>0</v>
      </c>
      <c r="AK222" s="276">
        <v>0</v>
      </c>
      <c r="AL222" s="276">
        <v>0</v>
      </c>
      <c r="AM222" s="276">
        <v>0</v>
      </c>
      <c r="AN222" s="276">
        <v>0</v>
      </c>
      <c r="AO222" s="276">
        <v>0</v>
      </c>
      <c r="AP222" s="276">
        <v>0</v>
      </c>
      <c r="AQ222" s="276">
        <v>0</v>
      </c>
      <c r="AR222" s="276">
        <v>0</v>
      </c>
      <c r="AS222" s="276">
        <v>0</v>
      </c>
      <c r="AT222" s="276">
        <v>0</v>
      </c>
      <c r="AU222" s="276">
        <v>0</v>
      </c>
      <c r="AV222" s="276">
        <v>0</v>
      </c>
      <c r="AW222" s="276">
        <v>0</v>
      </c>
      <c r="AX222" s="276">
        <v>0</v>
      </c>
      <c r="AY222" s="276">
        <v>0</v>
      </c>
      <c r="AZ222" s="278">
        <v>0</v>
      </c>
      <c r="BB222" s="269" t="s">
        <v>304</v>
      </c>
      <c r="BC222" s="270"/>
      <c r="BD222" s="269">
        <f>AA39</f>
        <v>250</v>
      </c>
      <c r="BE222" s="254"/>
      <c r="BF222" s="193">
        <f t="shared" si="93"/>
        <v>2.4142555206516508E-3</v>
      </c>
    </row>
    <row r="223" spans="1:58" x14ac:dyDescent="0.25">
      <c r="A223" s="113">
        <v>27</v>
      </c>
      <c r="B223" s="5">
        <f>SUMIF($AY$52:$BD$192,$A$223*1000+B194,$A$52:$F$192)</f>
        <v>0</v>
      </c>
      <c r="C223" s="5">
        <f>SUMIF($AY$52:$BD$192,$A$223*1000+C194,$A$52:$F$192)</f>
        <v>0</v>
      </c>
      <c r="D223" s="5">
        <f>SUMIF($AY$52:$BD$192,$A$223*1000+D194,$A$52:$F$192)</f>
        <v>0</v>
      </c>
      <c r="E223" s="267">
        <f>SUMIF($AY$52:$BD$192,$A$223*1000+E194,$A$52:$F$192)</f>
        <v>0</v>
      </c>
      <c r="F223" s="276">
        <v>0</v>
      </c>
      <c r="G223" s="276">
        <v>0</v>
      </c>
      <c r="H223" s="276">
        <v>0</v>
      </c>
      <c r="I223" s="276">
        <v>0</v>
      </c>
      <c r="J223" s="276">
        <v>0</v>
      </c>
      <c r="K223" s="276">
        <v>0</v>
      </c>
      <c r="L223" s="276">
        <v>0</v>
      </c>
      <c r="M223" s="276">
        <v>0</v>
      </c>
      <c r="N223" s="276">
        <v>0</v>
      </c>
      <c r="O223" s="276">
        <v>0</v>
      </c>
      <c r="P223" s="276">
        <v>0</v>
      </c>
      <c r="Q223" s="276">
        <v>0</v>
      </c>
      <c r="R223" s="276">
        <v>0</v>
      </c>
      <c r="S223" s="276">
        <v>0</v>
      </c>
      <c r="T223" s="276">
        <v>0</v>
      </c>
      <c r="U223" s="276">
        <v>0</v>
      </c>
      <c r="V223" s="276">
        <v>0</v>
      </c>
      <c r="W223" s="276">
        <v>0</v>
      </c>
      <c r="X223" s="276">
        <v>0</v>
      </c>
      <c r="Y223" s="276">
        <f t="shared" si="94"/>
        <v>-4571220.1531553781</v>
      </c>
      <c r="Z223" s="276">
        <f t="shared" si="94"/>
        <v>18284880.612621512</v>
      </c>
      <c r="AA223" s="276">
        <f>C120</f>
        <v>647589521.69701195</v>
      </c>
      <c r="AB223" s="276">
        <f>D120+A126</f>
        <v>48105189.262735792</v>
      </c>
      <c r="AC223" s="276">
        <f t="shared" si="95"/>
        <v>155850995.82570013</v>
      </c>
      <c r="AD223" s="279">
        <f t="shared" si="95"/>
        <v>13629803624.441809</v>
      </c>
      <c r="AE223" s="276">
        <f t="shared" si="96"/>
        <v>-43533969.109580413</v>
      </c>
      <c r="AF223" s="276">
        <f t="shared" si="96"/>
        <v>-174135876.43832165</v>
      </c>
      <c r="AG223" s="276">
        <f t="shared" si="96"/>
        <v>6167312290.5238924</v>
      </c>
      <c r="AH223" s="276">
        <v>0</v>
      </c>
      <c r="AI223" s="276">
        <v>0</v>
      </c>
      <c r="AJ223" s="276">
        <v>0</v>
      </c>
      <c r="AK223" s="276">
        <v>0</v>
      </c>
      <c r="AL223" s="276">
        <v>0</v>
      </c>
      <c r="AM223" s="276">
        <v>0</v>
      </c>
      <c r="AN223" s="276">
        <v>0</v>
      </c>
      <c r="AO223" s="276">
        <v>0</v>
      </c>
      <c r="AP223" s="276">
        <v>0</v>
      </c>
      <c r="AQ223" s="276">
        <v>0</v>
      </c>
      <c r="AR223" s="276">
        <v>0</v>
      </c>
      <c r="AS223" s="276">
        <v>0</v>
      </c>
      <c r="AT223" s="276">
        <v>0</v>
      </c>
      <c r="AU223" s="276">
        <v>0</v>
      </c>
      <c r="AV223" s="276">
        <v>0</v>
      </c>
      <c r="AW223" s="276">
        <v>0</v>
      </c>
      <c r="AX223" s="276">
        <v>0</v>
      </c>
      <c r="AY223" s="276">
        <v>0</v>
      </c>
      <c r="AZ223" s="278">
        <v>0</v>
      </c>
      <c r="BB223" s="269" t="s">
        <v>305</v>
      </c>
      <c r="BC223" s="270"/>
      <c r="BD223" s="269">
        <f>AB39</f>
        <v>0</v>
      </c>
      <c r="BE223" s="254"/>
      <c r="BF223" s="193">
        <f t="shared" si="93"/>
        <v>5.5691120376840557E-4</v>
      </c>
    </row>
    <row r="224" spans="1:58" x14ac:dyDescent="0.25">
      <c r="A224" s="113">
        <v>28</v>
      </c>
      <c r="B224" s="5">
        <f>SUMIF($AY$52:$BD$192,$A$224*1000+B194,$A$52:$F$192)</f>
        <v>0</v>
      </c>
      <c r="C224" s="5">
        <f>SUMIF($AY$52:$BD$192,$A$224*1000+C194,$A$52:$F$192)</f>
        <v>0</v>
      </c>
      <c r="D224" s="5">
        <f>SUMIF($AY$52:$BD$192,$A$224*1000+D194,$A$52:$F$192)</f>
        <v>0</v>
      </c>
      <c r="E224" s="267">
        <f>SUMIF($AY$52:$BD$192,$A$224*1000+E194,$A$52:$F$192)</f>
        <v>0</v>
      </c>
      <c r="F224" s="276">
        <v>0</v>
      </c>
      <c r="G224" s="276">
        <v>0</v>
      </c>
      <c r="H224" s="276">
        <v>0</v>
      </c>
      <c r="I224" s="276">
        <v>0</v>
      </c>
      <c r="J224" s="276">
        <v>0</v>
      </c>
      <c r="K224" s="276">
        <v>0</v>
      </c>
      <c r="L224" s="276">
        <v>0</v>
      </c>
      <c r="M224" s="276">
        <v>0</v>
      </c>
      <c r="N224" s="276">
        <v>0</v>
      </c>
      <c r="O224" s="276">
        <v>0</v>
      </c>
      <c r="P224" s="276">
        <v>0</v>
      </c>
      <c r="Q224" s="276">
        <v>0</v>
      </c>
      <c r="R224" s="276">
        <v>0</v>
      </c>
      <c r="S224" s="276">
        <v>0</v>
      </c>
      <c r="T224" s="276">
        <v>0</v>
      </c>
      <c r="U224" s="276">
        <v>0</v>
      </c>
      <c r="V224" s="276">
        <v>0</v>
      </c>
      <c r="W224" s="276">
        <v>0</v>
      </c>
      <c r="X224" s="276">
        <v>0</v>
      </c>
      <c r="Y224" s="276">
        <v>0</v>
      </c>
      <c r="Z224" s="276">
        <v>0</v>
      </c>
      <c r="AA224" s="276">
        <v>0</v>
      </c>
      <c r="AB224" s="276">
        <f t="shared" ref="AB224:AD226" si="97">A127</f>
        <v>-4806765.2200285876</v>
      </c>
      <c r="AC224" s="276">
        <f t="shared" si="97"/>
        <v>331011.92281553871</v>
      </c>
      <c r="AD224" s="276">
        <f t="shared" si="97"/>
        <v>-43533969.109580413</v>
      </c>
      <c r="AE224" s="279">
        <f t="shared" ref="AE224:AG226" si="98">D127+A133</f>
        <v>8099623.9413729459</v>
      </c>
      <c r="AF224" s="276">
        <f t="shared" si="98"/>
        <v>-1013211.9395134448</v>
      </c>
      <c r="AG224" s="276">
        <f t="shared" si="98"/>
        <v>-36483235.927671239</v>
      </c>
      <c r="AH224" s="276">
        <f t="shared" ref="AH224:AJ226" si="99">D133</f>
        <v>-3292858.7213443583</v>
      </c>
      <c r="AI224" s="276">
        <f t="shared" si="99"/>
        <v>682200.01669790607</v>
      </c>
      <c r="AJ224" s="276">
        <f t="shared" si="99"/>
        <v>7050733.1819091737</v>
      </c>
      <c r="AK224" s="276">
        <v>0</v>
      </c>
      <c r="AL224" s="276">
        <v>0</v>
      </c>
      <c r="AM224" s="276">
        <v>0</v>
      </c>
      <c r="AN224" s="276">
        <v>0</v>
      </c>
      <c r="AO224" s="276">
        <v>0</v>
      </c>
      <c r="AP224" s="276">
        <v>0</v>
      </c>
      <c r="AQ224" s="276">
        <v>0</v>
      </c>
      <c r="AR224" s="276">
        <v>0</v>
      </c>
      <c r="AS224" s="276">
        <v>0</v>
      </c>
      <c r="AT224" s="276">
        <v>0</v>
      </c>
      <c r="AU224" s="276">
        <v>0</v>
      </c>
      <c r="AV224" s="276">
        <v>0</v>
      </c>
      <c r="AW224" s="276">
        <v>0</v>
      </c>
      <c r="AX224" s="276">
        <v>0</v>
      </c>
      <c r="AY224" s="276">
        <v>0</v>
      </c>
      <c r="AZ224" s="278">
        <v>0</v>
      </c>
      <c r="BB224" s="269" t="s">
        <v>306</v>
      </c>
      <c r="BC224" s="270"/>
      <c r="BD224" s="269">
        <f>Z40</f>
        <v>0</v>
      </c>
      <c r="BE224" s="254"/>
      <c r="BF224" s="193">
        <f t="shared" si="93"/>
        <v>0.5511394953690697</v>
      </c>
    </row>
    <row r="225" spans="1:58" x14ac:dyDescent="0.25">
      <c r="A225" s="113">
        <v>29</v>
      </c>
      <c r="B225" s="5">
        <f>SUMIF($AY$52:$BD$192,$A$225*1000+B194,$A$52:$F$192)</f>
        <v>0</v>
      </c>
      <c r="C225" s="5">
        <f>SUMIF($AY$52:$BD$192,$A$225*1000+C194,$A$52:$F$192)</f>
        <v>0</v>
      </c>
      <c r="D225" s="5">
        <f>SUMIF($AY$52:$BD$192,$A$225*1000+D194,$A$52:$F$192)</f>
        <v>0</v>
      </c>
      <c r="E225" s="267">
        <f>SUMIF($AY$52:$BD$192,$A$225*1000+E194,$A$52:$F$192)</f>
        <v>0</v>
      </c>
      <c r="F225" s="276">
        <v>0</v>
      </c>
      <c r="G225" s="276">
        <v>0</v>
      </c>
      <c r="H225" s="276">
        <v>0</v>
      </c>
      <c r="I225" s="276">
        <v>0</v>
      </c>
      <c r="J225" s="276">
        <v>0</v>
      </c>
      <c r="K225" s="276">
        <v>0</v>
      </c>
      <c r="L225" s="276">
        <v>0</v>
      </c>
      <c r="M225" s="276">
        <v>0</v>
      </c>
      <c r="N225" s="276">
        <v>0</v>
      </c>
      <c r="O225" s="276">
        <v>0</v>
      </c>
      <c r="P225" s="276">
        <v>0</v>
      </c>
      <c r="Q225" s="276">
        <v>0</v>
      </c>
      <c r="R225" s="276">
        <v>0</v>
      </c>
      <c r="S225" s="276">
        <v>0</v>
      </c>
      <c r="T225" s="276">
        <v>0</v>
      </c>
      <c r="U225" s="276">
        <v>0</v>
      </c>
      <c r="V225" s="276">
        <v>0</v>
      </c>
      <c r="W225" s="276">
        <v>0</v>
      </c>
      <c r="X225" s="276">
        <v>0</v>
      </c>
      <c r="Y225" s="276">
        <v>0</v>
      </c>
      <c r="Z225" s="276">
        <v>0</v>
      </c>
      <c r="AA225" s="276">
        <v>0</v>
      </c>
      <c r="AB225" s="276">
        <f t="shared" si="97"/>
        <v>331011.92281553871</v>
      </c>
      <c r="AC225" s="276">
        <f t="shared" si="97"/>
        <v>-3565470.5094703175</v>
      </c>
      <c r="AD225" s="276">
        <f t="shared" si="97"/>
        <v>-174135876.43832165</v>
      </c>
      <c r="AE225" s="276">
        <f t="shared" si="98"/>
        <v>-1013211.9395134448</v>
      </c>
      <c r="AF225" s="279">
        <f t="shared" si="98"/>
        <v>4300079.1681975275</v>
      </c>
      <c r="AG225" s="276">
        <f t="shared" si="98"/>
        <v>-145932943.71068496</v>
      </c>
      <c r="AH225" s="276">
        <f t="shared" si="99"/>
        <v>682200.01669790607</v>
      </c>
      <c r="AI225" s="276">
        <f t="shared" si="99"/>
        <v>-734608.65872721036</v>
      </c>
      <c r="AJ225" s="276">
        <f t="shared" si="99"/>
        <v>28202932.727636695</v>
      </c>
      <c r="AK225" s="276">
        <v>0</v>
      </c>
      <c r="AL225" s="276">
        <v>0</v>
      </c>
      <c r="AM225" s="276">
        <v>0</v>
      </c>
      <c r="AN225" s="276">
        <v>0</v>
      </c>
      <c r="AO225" s="276">
        <v>0</v>
      </c>
      <c r="AP225" s="276">
        <v>0</v>
      </c>
      <c r="AQ225" s="276">
        <v>0</v>
      </c>
      <c r="AR225" s="276">
        <v>0</v>
      </c>
      <c r="AS225" s="276">
        <v>0</v>
      </c>
      <c r="AT225" s="276">
        <v>0</v>
      </c>
      <c r="AU225" s="276">
        <v>0</v>
      </c>
      <c r="AV225" s="276">
        <v>0</v>
      </c>
      <c r="AW225" s="276">
        <v>0</v>
      </c>
      <c r="AX225" s="276">
        <v>0</v>
      </c>
      <c r="AY225" s="276">
        <v>0</v>
      </c>
      <c r="AZ225" s="278">
        <v>0</v>
      </c>
      <c r="BB225" s="269" t="s">
        <v>307</v>
      </c>
      <c r="BC225" s="270"/>
      <c r="BD225" s="269">
        <f>AA40</f>
        <v>0</v>
      </c>
      <c r="BE225" s="254"/>
      <c r="BF225" s="193">
        <f t="shared" si="93"/>
        <v>5.6568411552229296E-2</v>
      </c>
    </row>
    <row r="226" spans="1:58" x14ac:dyDescent="0.25">
      <c r="A226" s="113">
        <v>30</v>
      </c>
      <c r="B226" s="5">
        <f>SUMIF($AY$52:$BD$192,$A$226*1000+B194,$A$52:$F$192)</f>
        <v>0</v>
      </c>
      <c r="C226" s="5">
        <f>SUMIF($AY$52:$BD$192,$A$226*1000+C194,$A$52:$F$192)</f>
        <v>0</v>
      </c>
      <c r="D226" s="5">
        <f>SUMIF($AY$52:$BD$192,$A$226*1000+D194,$A$52:$F$192)</f>
        <v>0</v>
      </c>
      <c r="E226" s="267">
        <f>SUMIF($AY$52:$BD$192,$A$226*1000+E194,$A$52:$F$192)</f>
        <v>0</v>
      </c>
      <c r="F226" s="276">
        <v>0</v>
      </c>
      <c r="G226" s="276">
        <v>0</v>
      </c>
      <c r="H226" s="276">
        <v>0</v>
      </c>
      <c r="I226" s="276">
        <v>0</v>
      </c>
      <c r="J226" s="276">
        <v>0</v>
      </c>
      <c r="K226" s="276">
        <v>0</v>
      </c>
      <c r="L226" s="276">
        <v>0</v>
      </c>
      <c r="M226" s="276">
        <v>0</v>
      </c>
      <c r="N226" s="276">
        <v>0</v>
      </c>
      <c r="O226" s="276">
        <v>0</v>
      </c>
      <c r="P226" s="276">
        <v>0</v>
      </c>
      <c r="Q226" s="276">
        <v>0</v>
      </c>
      <c r="R226" s="276">
        <v>0</v>
      </c>
      <c r="S226" s="276">
        <v>0</v>
      </c>
      <c r="T226" s="276">
        <v>0</v>
      </c>
      <c r="U226" s="276">
        <v>0</v>
      </c>
      <c r="V226" s="276">
        <v>0</v>
      </c>
      <c r="W226" s="276">
        <v>0</v>
      </c>
      <c r="X226" s="276">
        <v>0</v>
      </c>
      <c r="Y226" s="276">
        <v>0</v>
      </c>
      <c r="Z226" s="276">
        <v>0</v>
      </c>
      <c r="AA226" s="276">
        <v>0</v>
      </c>
      <c r="AB226" s="276">
        <f t="shared" si="97"/>
        <v>43533969.109580413</v>
      </c>
      <c r="AC226" s="276">
        <f t="shared" si="97"/>
        <v>174135876.43832165</v>
      </c>
      <c r="AD226" s="276">
        <f t="shared" si="97"/>
        <v>6167312290.5238924</v>
      </c>
      <c r="AE226" s="276">
        <f t="shared" si="98"/>
        <v>-36483235.927671239</v>
      </c>
      <c r="AF226" s="276">
        <f t="shared" si="98"/>
        <v>-145932943.71068496</v>
      </c>
      <c r="AG226" s="279">
        <f t="shared" si="98"/>
        <v>14332332315.92205</v>
      </c>
      <c r="AH226" s="276">
        <f t="shared" si="99"/>
        <v>-7050733.1819091737</v>
      </c>
      <c r="AI226" s="276">
        <f t="shared" si="99"/>
        <v>-28202932.727636695</v>
      </c>
      <c r="AJ226" s="276">
        <f t="shared" si="99"/>
        <v>998853867.43713295</v>
      </c>
      <c r="AK226" s="276">
        <v>0</v>
      </c>
      <c r="AL226" s="276">
        <v>0</v>
      </c>
      <c r="AM226" s="276">
        <v>0</v>
      </c>
      <c r="AN226" s="276">
        <v>0</v>
      </c>
      <c r="AO226" s="276">
        <v>0</v>
      </c>
      <c r="AP226" s="276">
        <v>0</v>
      </c>
      <c r="AQ226" s="276">
        <v>0</v>
      </c>
      <c r="AR226" s="276">
        <v>0</v>
      </c>
      <c r="AS226" s="276">
        <v>0</v>
      </c>
      <c r="AT226" s="276">
        <v>0</v>
      </c>
      <c r="AU226" s="276">
        <v>0</v>
      </c>
      <c r="AV226" s="276">
        <v>0</v>
      </c>
      <c r="AW226" s="276">
        <v>0</v>
      </c>
      <c r="AX226" s="276">
        <v>0</v>
      </c>
      <c r="AY226" s="276">
        <v>0</v>
      </c>
      <c r="AZ226" s="278">
        <v>0</v>
      </c>
      <c r="BB226" s="269" t="s">
        <v>308</v>
      </c>
      <c r="BC226" s="270"/>
      <c r="BD226" s="269">
        <f>AB40</f>
        <v>0</v>
      </c>
      <c r="BE226" s="254"/>
      <c r="BF226" s="193">
        <f t="shared" si="93"/>
        <v>5.1855213923378339E-4</v>
      </c>
    </row>
    <row r="227" spans="1:58" x14ac:dyDescent="0.25">
      <c r="A227" s="113">
        <v>31</v>
      </c>
      <c r="B227" s="5">
        <f>SUMIF($AY$52:$BD$192,$A$227*1000+B194,$A$52:$F$192)</f>
        <v>0</v>
      </c>
      <c r="C227" s="5">
        <f>SUMIF($AY$52:$BD$192,$A$227*1000+C194,$A$52:$F$192)</f>
        <v>0</v>
      </c>
      <c r="D227" s="5">
        <f>SUMIF($AY$52:$BD$192,$A$227*1000+D194,$A$52:$F$192)</f>
        <v>0</v>
      </c>
      <c r="E227" s="267">
        <f>SUMIF($AY$52:$BD$192,$A$227*1000+E194,$A$52:$F$192)</f>
        <v>0</v>
      </c>
      <c r="F227" s="276">
        <v>0</v>
      </c>
      <c r="G227" s="276">
        <v>0</v>
      </c>
      <c r="H227" s="276">
        <v>0</v>
      </c>
      <c r="I227" s="276">
        <v>0</v>
      </c>
      <c r="J227" s="276">
        <v>0</v>
      </c>
      <c r="K227" s="276">
        <v>0</v>
      </c>
      <c r="L227" s="276">
        <v>0</v>
      </c>
      <c r="M227" s="276">
        <v>0</v>
      </c>
      <c r="N227" s="276">
        <v>0</v>
      </c>
      <c r="O227" s="276">
        <v>0</v>
      </c>
      <c r="P227" s="276">
        <v>0</v>
      </c>
      <c r="Q227" s="276">
        <v>0</v>
      </c>
      <c r="R227" s="276">
        <v>0</v>
      </c>
      <c r="S227" s="276">
        <v>0</v>
      </c>
      <c r="T227" s="276">
        <v>0</v>
      </c>
      <c r="U227" s="276">
        <v>0</v>
      </c>
      <c r="V227" s="276">
        <v>0</v>
      </c>
      <c r="W227" s="276">
        <v>0</v>
      </c>
      <c r="X227" s="276">
        <v>0</v>
      </c>
      <c r="Y227" s="276">
        <v>0</v>
      </c>
      <c r="Z227" s="276">
        <v>0</v>
      </c>
      <c r="AA227" s="276">
        <v>0</v>
      </c>
      <c r="AB227" s="276">
        <v>0</v>
      </c>
      <c r="AC227" s="276">
        <v>0</v>
      </c>
      <c r="AD227" s="276">
        <v>0</v>
      </c>
      <c r="AE227" s="276">
        <f t="shared" ref="AE227:AG229" si="100">A136</f>
        <v>-3292858.7213443583</v>
      </c>
      <c r="AF227" s="276">
        <f t="shared" si="100"/>
        <v>682200.01669790607</v>
      </c>
      <c r="AG227" s="276">
        <f t="shared" si="100"/>
        <v>-7050733.1819091737</v>
      </c>
      <c r="AH227" s="279">
        <f t="shared" ref="AH227:AJ229" si="101">D136+A142</f>
        <v>6792007.7382649481</v>
      </c>
      <c r="AI227" s="276">
        <f t="shared" si="101"/>
        <v>-1354158.5512129632</v>
      </c>
      <c r="AJ227" s="276">
        <f t="shared" si="101"/>
        <v>3090702.8038453553</v>
      </c>
      <c r="AK227" s="276">
        <f t="shared" ref="AK227:AM229" si="102">D142</f>
        <v>-3499149.0169205903</v>
      </c>
      <c r="AL227" s="276">
        <f t="shared" si="102"/>
        <v>671958.53451505699</v>
      </c>
      <c r="AM227" s="276">
        <f t="shared" si="102"/>
        <v>10141435.985754529</v>
      </c>
      <c r="AN227" s="276">
        <v>0</v>
      </c>
      <c r="AO227" s="276">
        <v>0</v>
      </c>
      <c r="AP227" s="276">
        <v>0</v>
      </c>
      <c r="AQ227" s="276">
        <v>0</v>
      </c>
      <c r="AR227" s="276">
        <v>0</v>
      </c>
      <c r="AS227" s="276">
        <v>0</v>
      </c>
      <c r="AT227" s="276">
        <v>0</v>
      </c>
      <c r="AU227" s="276">
        <v>0</v>
      </c>
      <c r="AV227" s="276">
        <v>0</v>
      </c>
      <c r="AW227" s="276">
        <v>0</v>
      </c>
      <c r="AX227" s="276">
        <v>0</v>
      </c>
      <c r="AY227" s="276">
        <v>0</v>
      </c>
      <c r="AZ227" s="278">
        <v>0</v>
      </c>
      <c r="BB227" s="269" t="s">
        <v>309</v>
      </c>
      <c r="BC227" s="270"/>
      <c r="BD227" s="269">
        <f>Z41</f>
        <v>0</v>
      </c>
      <c r="BE227" s="254"/>
      <c r="BF227" s="193">
        <f t="shared" si="93"/>
        <v>0.55836513136048438</v>
      </c>
    </row>
    <row r="228" spans="1:58" x14ac:dyDescent="0.25">
      <c r="A228" s="113">
        <v>32</v>
      </c>
      <c r="B228" s="5">
        <f>SUMIF($AY$52:$BD$192,$A$228*1000+B194,$A$52:$F$192)</f>
        <v>0</v>
      </c>
      <c r="C228" s="5">
        <f>SUMIF($AY$52:$BD$192,$A$228*1000+C194,$A$52:$F$192)</f>
        <v>0</v>
      </c>
      <c r="D228" s="5">
        <f>SUMIF($AY$52:$BD$192,$A$228*1000+D194,$A$52:$F$192)</f>
        <v>0</v>
      </c>
      <c r="E228" s="267">
        <f>SUMIF($AY$52:$BD$192,$A$228*1000+E194,$A$52:$F$192)</f>
        <v>0</v>
      </c>
      <c r="F228" s="276">
        <v>0</v>
      </c>
      <c r="G228" s="276">
        <v>0</v>
      </c>
      <c r="H228" s="276">
        <v>0</v>
      </c>
      <c r="I228" s="276">
        <v>0</v>
      </c>
      <c r="J228" s="276">
        <v>0</v>
      </c>
      <c r="K228" s="276">
        <v>0</v>
      </c>
      <c r="L228" s="276">
        <v>0</v>
      </c>
      <c r="M228" s="276">
        <v>0</v>
      </c>
      <c r="N228" s="276">
        <v>0</v>
      </c>
      <c r="O228" s="276">
        <v>0</v>
      </c>
      <c r="P228" s="276">
        <v>0</v>
      </c>
      <c r="Q228" s="276">
        <v>0</v>
      </c>
      <c r="R228" s="276">
        <v>0</v>
      </c>
      <c r="S228" s="276">
        <v>0</v>
      </c>
      <c r="T228" s="276">
        <v>0</v>
      </c>
      <c r="U228" s="276">
        <v>0</v>
      </c>
      <c r="V228" s="276">
        <v>0</v>
      </c>
      <c r="W228" s="276">
        <v>0</v>
      </c>
      <c r="X228" s="276">
        <v>0</v>
      </c>
      <c r="Y228" s="276">
        <v>0</v>
      </c>
      <c r="Z228" s="276">
        <v>0</v>
      </c>
      <c r="AA228" s="276">
        <v>0</v>
      </c>
      <c r="AB228" s="276">
        <v>0</v>
      </c>
      <c r="AC228" s="276">
        <v>0</v>
      </c>
      <c r="AD228" s="276">
        <v>0</v>
      </c>
      <c r="AE228" s="276">
        <f t="shared" si="100"/>
        <v>682200.01669790607</v>
      </c>
      <c r="AF228" s="276">
        <f t="shared" si="100"/>
        <v>-734608.65872721036</v>
      </c>
      <c r="AG228" s="276">
        <f t="shared" si="100"/>
        <v>-28202932.727636695</v>
      </c>
      <c r="AH228" s="276">
        <f t="shared" si="101"/>
        <v>-1354158.5512129632</v>
      </c>
      <c r="AI228" s="279">
        <f t="shared" si="101"/>
        <v>1713913.1712163368</v>
      </c>
      <c r="AJ228" s="276">
        <f t="shared" si="101"/>
        <v>12362811.215381421</v>
      </c>
      <c r="AK228" s="276">
        <f t="shared" si="102"/>
        <v>671958.53451505699</v>
      </c>
      <c r="AL228" s="276">
        <f t="shared" si="102"/>
        <v>-979304.51248912641</v>
      </c>
      <c r="AM228" s="276">
        <f t="shared" si="102"/>
        <v>40565743.943018116</v>
      </c>
      <c r="AN228" s="276">
        <v>0</v>
      </c>
      <c r="AO228" s="276">
        <v>0</v>
      </c>
      <c r="AP228" s="276">
        <v>0</v>
      </c>
      <c r="AQ228" s="276">
        <v>0</v>
      </c>
      <c r="AR228" s="276">
        <v>0</v>
      </c>
      <c r="AS228" s="276">
        <v>0</v>
      </c>
      <c r="AT228" s="276">
        <v>0</v>
      </c>
      <c r="AU228" s="276">
        <v>0</v>
      </c>
      <c r="AV228" s="276">
        <v>0</v>
      </c>
      <c r="AW228" s="276">
        <v>0</v>
      </c>
      <c r="AX228" s="276">
        <v>0</v>
      </c>
      <c r="AY228" s="276">
        <v>0</v>
      </c>
      <c r="AZ228" s="278">
        <v>0</v>
      </c>
      <c r="BB228" s="269" t="s">
        <v>310</v>
      </c>
      <c r="BC228" s="270"/>
      <c r="BD228" s="269">
        <f>AA41</f>
        <v>0</v>
      </c>
      <c r="BE228" s="254"/>
      <c r="BF228" s="193">
        <f t="shared" si="93"/>
        <v>8.735818824020937E-2</v>
      </c>
    </row>
    <row r="229" spans="1:58" x14ac:dyDescent="0.25">
      <c r="A229" s="113">
        <v>33</v>
      </c>
      <c r="B229" s="5">
        <f>SUMIF($AY$52:$BD$192,$A$229*1000+B194,$A$52:$F$192)</f>
        <v>0</v>
      </c>
      <c r="C229" s="5">
        <f>SUMIF($AY$52:$BD$192,$A$229*1000+C194,$A$52:$F$192)</f>
        <v>0</v>
      </c>
      <c r="D229" s="5">
        <f>SUMIF($AY$52:$BD$192,$A$229*1000+D194,$A$52:$F$192)</f>
        <v>0</v>
      </c>
      <c r="E229" s="267">
        <f>SUMIF($AY$52:$BD$192,$A$229*1000+E194,$A$52:$F$192)</f>
        <v>0</v>
      </c>
      <c r="F229" s="276">
        <v>0</v>
      </c>
      <c r="G229" s="276">
        <v>0</v>
      </c>
      <c r="H229" s="276">
        <v>0</v>
      </c>
      <c r="I229" s="276">
        <v>0</v>
      </c>
      <c r="J229" s="276">
        <v>0</v>
      </c>
      <c r="K229" s="276">
        <v>0</v>
      </c>
      <c r="L229" s="276">
        <v>0</v>
      </c>
      <c r="M229" s="276">
        <v>0</v>
      </c>
      <c r="N229" s="276">
        <v>0</v>
      </c>
      <c r="O229" s="276">
        <v>0</v>
      </c>
      <c r="P229" s="276">
        <v>0</v>
      </c>
      <c r="Q229" s="276">
        <v>0</v>
      </c>
      <c r="R229" s="276">
        <v>0</v>
      </c>
      <c r="S229" s="276">
        <v>0</v>
      </c>
      <c r="T229" s="276">
        <v>0</v>
      </c>
      <c r="U229" s="276">
        <v>0</v>
      </c>
      <c r="V229" s="276">
        <v>0</v>
      </c>
      <c r="W229" s="276">
        <v>0</v>
      </c>
      <c r="X229" s="276">
        <v>0</v>
      </c>
      <c r="Y229" s="276">
        <v>0</v>
      </c>
      <c r="Z229" s="276">
        <v>0</v>
      </c>
      <c r="AA229" s="276">
        <v>0</v>
      </c>
      <c r="AB229" s="276">
        <v>0</v>
      </c>
      <c r="AC229" s="276">
        <v>0</v>
      </c>
      <c r="AD229" s="276">
        <v>0</v>
      </c>
      <c r="AE229" s="276">
        <f t="shared" si="100"/>
        <v>7050733.1819091737</v>
      </c>
      <c r="AF229" s="276">
        <f t="shared" si="100"/>
        <v>28202932.727636695</v>
      </c>
      <c r="AG229" s="276">
        <f t="shared" si="100"/>
        <v>998853867.43713295</v>
      </c>
      <c r="AH229" s="276">
        <f t="shared" si="101"/>
        <v>3090702.8038453553</v>
      </c>
      <c r="AI229" s="276">
        <f t="shared" si="101"/>
        <v>12362811.215381421</v>
      </c>
      <c r="AJ229" s="279">
        <f t="shared" si="101"/>
        <v>4871114597.5047159</v>
      </c>
      <c r="AK229" s="276">
        <f t="shared" si="102"/>
        <v>-10141435.985754529</v>
      </c>
      <c r="AL229" s="276">
        <f t="shared" si="102"/>
        <v>-40565743.943018116</v>
      </c>
      <c r="AM229" s="276">
        <f t="shared" si="102"/>
        <v>1436703431.3152249</v>
      </c>
      <c r="AN229" s="276">
        <v>0</v>
      </c>
      <c r="AO229" s="276">
        <v>0</v>
      </c>
      <c r="AP229" s="276">
        <v>0</v>
      </c>
      <c r="AQ229" s="276">
        <v>0</v>
      </c>
      <c r="AR229" s="276">
        <v>0</v>
      </c>
      <c r="AS229" s="276">
        <v>0</v>
      </c>
      <c r="AT229" s="276">
        <v>0</v>
      </c>
      <c r="AU229" s="276">
        <v>0</v>
      </c>
      <c r="AV229" s="276">
        <v>0</v>
      </c>
      <c r="AW229" s="276">
        <v>0</v>
      </c>
      <c r="AX229" s="276">
        <v>0</v>
      </c>
      <c r="AY229" s="276">
        <v>0</v>
      </c>
      <c r="AZ229" s="278">
        <v>0</v>
      </c>
      <c r="BB229" s="269" t="s">
        <v>311</v>
      </c>
      <c r="BC229" s="270"/>
      <c r="BD229" s="269">
        <f>AB41</f>
        <v>0</v>
      </c>
      <c r="BE229" s="254"/>
      <c r="BF229" s="193">
        <f t="shared" si="93"/>
        <v>5.7686073941296082E-5</v>
      </c>
    </row>
    <row r="230" spans="1:58" x14ac:dyDescent="0.25">
      <c r="A230" s="113">
        <v>34</v>
      </c>
      <c r="B230" s="5">
        <f>SUMIF($AY$52:$BD$192,$A$230*1000+B194,$A$52:$F$192)</f>
        <v>0</v>
      </c>
      <c r="C230" s="5">
        <f>SUMIF($AY$52:$BD$192,$A$230*1000+C194,$A$52:$F$192)</f>
        <v>0</v>
      </c>
      <c r="D230" s="5">
        <f>SUMIF($AY$52:$BD$192,$A$230*1000+D194,$A$52:$F$192)</f>
        <v>0</v>
      </c>
      <c r="E230" s="267">
        <f>SUMIF($AY$52:$BD$192,$A$230*1000+E194,$A$52:$F$192)</f>
        <v>0</v>
      </c>
      <c r="F230" s="276">
        <v>0</v>
      </c>
      <c r="G230" s="276">
        <v>0</v>
      </c>
      <c r="H230" s="276">
        <v>0</v>
      </c>
      <c r="I230" s="276">
        <v>0</v>
      </c>
      <c r="J230" s="276">
        <v>0</v>
      </c>
      <c r="K230" s="276">
        <v>0</v>
      </c>
      <c r="L230" s="276">
        <v>0</v>
      </c>
      <c r="M230" s="276">
        <v>0</v>
      </c>
      <c r="N230" s="276">
        <v>0</v>
      </c>
      <c r="O230" s="276">
        <v>0</v>
      </c>
      <c r="P230" s="276">
        <v>0</v>
      </c>
      <c r="Q230" s="276">
        <v>0</v>
      </c>
      <c r="R230" s="276">
        <v>0</v>
      </c>
      <c r="S230" s="276">
        <v>0</v>
      </c>
      <c r="T230" s="276">
        <v>0</v>
      </c>
      <c r="U230" s="276">
        <v>0</v>
      </c>
      <c r="V230" s="276">
        <v>0</v>
      </c>
      <c r="W230" s="276">
        <v>0</v>
      </c>
      <c r="X230" s="276">
        <v>0</v>
      </c>
      <c r="Y230" s="276">
        <v>0</v>
      </c>
      <c r="Z230" s="276">
        <v>0</v>
      </c>
      <c r="AA230" s="276">
        <v>0</v>
      </c>
      <c r="AB230" s="276">
        <v>0</v>
      </c>
      <c r="AC230" s="276">
        <v>0</v>
      </c>
      <c r="AD230" s="276">
        <v>0</v>
      </c>
      <c r="AE230" s="276">
        <v>0</v>
      </c>
      <c r="AF230" s="276">
        <v>0</v>
      </c>
      <c r="AG230" s="276">
        <v>0</v>
      </c>
      <c r="AH230" s="276">
        <f t="shared" ref="AH230:AJ232" si="103">A145</f>
        <v>-3499149.0169205903</v>
      </c>
      <c r="AI230" s="276">
        <f t="shared" si="103"/>
        <v>671958.53451505699</v>
      </c>
      <c r="AJ230" s="276">
        <f t="shared" si="103"/>
        <v>-10141435.985754529</v>
      </c>
      <c r="AK230" s="279">
        <f t="shared" ref="AK230:AM232" si="104">D145+A151</f>
        <v>6998298.0338411806</v>
      </c>
      <c r="AL230" s="276">
        <f t="shared" si="104"/>
        <v>-1343917.069030114</v>
      </c>
      <c r="AM230" s="276">
        <f t="shared" si="104"/>
        <v>0</v>
      </c>
      <c r="AN230" s="276">
        <f t="shared" ref="AN230:AP232" si="105">D151</f>
        <v>-3499149.0169205903</v>
      </c>
      <c r="AO230" s="276">
        <f t="shared" si="105"/>
        <v>671958.53451505699</v>
      </c>
      <c r="AP230" s="276">
        <f t="shared" si="105"/>
        <v>10141435.985754529</v>
      </c>
      <c r="AQ230" s="276">
        <v>0</v>
      </c>
      <c r="AR230" s="276">
        <v>0</v>
      </c>
      <c r="AS230" s="276">
        <v>0</v>
      </c>
      <c r="AT230" s="276">
        <v>0</v>
      </c>
      <c r="AU230" s="276">
        <v>0</v>
      </c>
      <c r="AV230" s="276">
        <v>0</v>
      </c>
      <c r="AW230" s="276">
        <v>0</v>
      </c>
      <c r="AX230" s="276">
        <v>0</v>
      </c>
      <c r="AY230" s="276">
        <v>0</v>
      </c>
      <c r="AZ230" s="278">
        <v>0</v>
      </c>
      <c r="BB230" s="269" t="s">
        <v>312</v>
      </c>
      <c r="BC230" s="270"/>
      <c r="BD230" s="269">
        <f>Z42</f>
        <v>0</v>
      </c>
      <c r="BE230" s="254"/>
      <c r="BF230" s="193">
        <f t="shared" si="93"/>
        <v>0.55376035261392198</v>
      </c>
    </row>
    <row r="231" spans="1:58" x14ac:dyDescent="0.25">
      <c r="A231" s="113">
        <v>35</v>
      </c>
      <c r="B231" s="5">
        <f>SUMIF($AY$52:$BD$192,$A$231*1000+B194,$A$52:$F$192)</f>
        <v>0</v>
      </c>
      <c r="C231" s="5">
        <f>SUMIF($AY$52:$BD$192,$A$231*1000+C194,$A$52:$F$192)</f>
        <v>0</v>
      </c>
      <c r="D231" s="5">
        <f>SUMIF($AY$52:$BD$192,$A$231*1000+D194,$A$52:$F$192)</f>
        <v>0</v>
      </c>
      <c r="E231" s="267">
        <f>SUMIF($AY$52:$BD$192,$A$231*1000+E194,$A$52:$F$192)</f>
        <v>0</v>
      </c>
      <c r="F231" s="276">
        <v>0</v>
      </c>
      <c r="G231" s="276">
        <v>0</v>
      </c>
      <c r="H231" s="276">
        <v>0</v>
      </c>
      <c r="I231" s="276">
        <v>0</v>
      </c>
      <c r="J231" s="276">
        <v>0</v>
      </c>
      <c r="K231" s="276">
        <v>0</v>
      </c>
      <c r="L231" s="276">
        <v>0</v>
      </c>
      <c r="M231" s="276">
        <v>0</v>
      </c>
      <c r="N231" s="276">
        <v>0</v>
      </c>
      <c r="O231" s="276">
        <v>0</v>
      </c>
      <c r="P231" s="276">
        <v>0</v>
      </c>
      <c r="Q231" s="276">
        <v>0</v>
      </c>
      <c r="R231" s="276">
        <v>0</v>
      </c>
      <c r="S231" s="276">
        <v>0</v>
      </c>
      <c r="T231" s="276">
        <v>0</v>
      </c>
      <c r="U231" s="276">
        <v>0</v>
      </c>
      <c r="V231" s="276">
        <v>0</v>
      </c>
      <c r="W231" s="276">
        <v>0</v>
      </c>
      <c r="X231" s="276">
        <v>0</v>
      </c>
      <c r="Y231" s="276">
        <v>0</v>
      </c>
      <c r="Z231" s="276">
        <v>0</v>
      </c>
      <c r="AA231" s="276">
        <v>0</v>
      </c>
      <c r="AB231" s="276">
        <v>0</v>
      </c>
      <c r="AC231" s="276">
        <v>0</v>
      </c>
      <c r="AD231" s="276">
        <v>0</v>
      </c>
      <c r="AE231" s="276">
        <v>0</v>
      </c>
      <c r="AF231" s="276">
        <v>0</v>
      </c>
      <c r="AG231" s="276">
        <v>0</v>
      </c>
      <c r="AH231" s="276">
        <f t="shared" si="103"/>
        <v>671958.53451505699</v>
      </c>
      <c r="AI231" s="276">
        <f t="shared" si="103"/>
        <v>-979304.51248912641</v>
      </c>
      <c r="AJ231" s="276">
        <f t="shared" si="103"/>
        <v>-40565743.943018116</v>
      </c>
      <c r="AK231" s="276">
        <f t="shared" si="104"/>
        <v>-1343917.069030114</v>
      </c>
      <c r="AL231" s="279">
        <f t="shared" si="104"/>
        <v>1958609.0249782528</v>
      </c>
      <c r="AM231" s="276">
        <f t="shared" si="104"/>
        <v>0</v>
      </c>
      <c r="AN231" s="276">
        <f t="shared" si="105"/>
        <v>671958.53451505699</v>
      </c>
      <c r="AO231" s="276">
        <f t="shared" si="105"/>
        <v>-979304.51248912641</v>
      </c>
      <c r="AP231" s="276">
        <f t="shared" si="105"/>
        <v>40565743.943018116</v>
      </c>
      <c r="AQ231" s="276">
        <v>0</v>
      </c>
      <c r="AR231" s="276">
        <v>0</v>
      </c>
      <c r="AS231" s="276">
        <v>0</v>
      </c>
      <c r="AT231" s="276">
        <v>0</v>
      </c>
      <c r="AU231" s="276">
        <v>0</v>
      </c>
      <c r="AV231" s="276">
        <v>0</v>
      </c>
      <c r="AW231" s="276">
        <v>0</v>
      </c>
      <c r="AX231" s="276">
        <v>0</v>
      </c>
      <c r="AY231" s="276">
        <v>0</v>
      </c>
      <c r="AZ231" s="278">
        <v>0</v>
      </c>
      <c r="BB231" s="269" t="s">
        <v>313</v>
      </c>
      <c r="BC231" s="270"/>
      <c r="BD231" s="269">
        <f>AA42</f>
        <v>0</v>
      </c>
      <c r="BE231" s="254"/>
      <c r="BF231" s="193">
        <f t="shared" si="93"/>
        <v>7.072145971393004E-2</v>
      </c>
    </row>
    <row r="232" spans="1:58" x14ac:dyDescent="0.25">
      <c r="A232" s="113">
        <v>36</v>
      </c>
      <c r="B232" s="5">
        <f>SUMIF($AY$52:$BD$192,$A$232*1000+B194,$A$52:$F$192)</f>
        <v>0</v>
      </c>
      <c r="C232" s="5">
        <f>SUMIF($AY$52:$BD$192,$A$232*1000+C194,$A$52:$F$192)</f>
        <v>0</v>
      </c>
      <c r="D232" s="5">
        <f>SUMIF($AY$52:$BD$192,$A$232*1000+D194,$A$52:$F$192)</f>
        <v>0</v>
      </c>
      <c r="E232" s="267">
        <f>SUMIF($AY$52:$BD$192,$A$232*1000+E194,$A$52:$F$192)</f>
        <v>0</v>
      </c>
      <c r="F232" s="276">
        <v>0</v>
      </c>
      <c r="G232" s="276">
        <v>0</v>
      </c>
      <c r="H232" s="276">
        <v>0</v>
      </c>
      <c r="I232" s="276">
        <v>0</v>
      </c>
      <c r="J232" s="276">
        <v>0</v>
      </c>
      <c r="K232" s="276">
        <v>0</v>
      </c>
      <c r="L232" s="276">
        <v>0</v>
      </c>
      <c r="M232" s="276">
        <v>0</v>
      </c>
      <c r="N232" s="276">
        <v>0</v>
      </c>
      <c r="O232" s="276">
        <v>0</v>
      </c>
      <c r="P232" s="276">
        <v>0</v>
      </c>
      <c r="Q232" s="276">
        <v>0</v>
      </c>
      <c r="R232" s="276">
        <v>0</v>
      </c>
      <c r="S232" s="276">
        <v>0</v>
      </c>
      <c r="T232" s="276">
        <v>0</v>
      </c>
      <c r="U232" s="276">
        <v>0</v>
      </c>
      <c r="V232" s="276">
        <v>0</v>
      </c>
      <c r="W232" s="276">
        <v>0</v>
      </c>
      <c r="X232" s="276">
        <v>0</v>
      </c>
      <c r="Y232" s="276">
        <v>0</v>
      </c>
      <c r="Z232" s="276">
        <v>0</v>
      </c>
      <c r="AA232" s="276">
        <v>0</v>
      </c>
      <c r="AB232" s="276">
        <v>0</v>
      </c>
      <c r="AC232" s="276">
        <v>0</v>
      </c>
      <c r="AD232" s="276">
        <v>0</v>
      </c>
      <c r="AE232" s="276">
        <v>0</v>
      </c>
      <c r="AF232" s="276">
        <v>0</v>
      </c>
      <c r="AG232" s="276">
        <v>0</v>
      </c>
      <c r="AH232" s="276">
        <f t="shared" si="103"/>
        <v>10141435.985754529</v>
      </c>
      <c r="AI232" s="276">
        <f t="shared" si="103"/>
        <v>40565743.943018116</v>
      </c>
      <c r="AJ232" s="276">
        <f t="shared" si="103"/>
        <v>1436703431.3152249</v>
      </c>
      <c r="AK232" s="276">
        <f t="shared" si="104"/>
        <v>0</v>
      </c>
      <c r="AL232" s="276">
        <f t="shared" si="104"/>
        <v>0</v>
      </c>
      <c r="AM232" s="279">
        <f t="shared" si="104"/>
        <v>5746813725.2608995</v>
      </c>
      <c r="AN232" s="276">
        <f t="shared" si="105"/>
        <v>-10141435.985754529</v>
      </c>
      <c r="AO232" s="276">
        <f t="shared" si="105"/>
        <v>-40565743.943018116</v>
      </c>
      <c r="AP232" s="276">
        <f t="shared" si="105"/>
        <v>1436703431.3152249</v>
      </c>
      <c r="AQ232" s="276">
        <v>0</v>
      </c>
      <c r="AR232" s="276">
        <v>0</v>
      </c>
      <c r="AS232" s="276">
        <v>0</v>
      </c>
      <c r="AT232" s="276">
        <v>0</v>
      </c>
      <c r="AU232" s="276">
        <v>0</v>
      </c>
      <c r="AV232" s="276">
        <v>0</v>
      </c>
      <c r="AW232" s="276">
        <v>0</v>
      </c>
      <c r="AX232" s="276">
        <v>0</v>
      </c>
      <c r="AY232" s="276">
        <v>0</v>
      </c>
      <c r="AZ232" s="278">
        <v>0</v>
      </c>
      <c r="BB232" s="269" t="s">
        <v>314</v>
      </c>
      <c r="BC232" s="270"/>
      <c r="BD232" s="269">
        <f>AB42</f>
        <v>0</v>
      </c>
      <c r="BE232" s="254"/>
      <c r="BF232" s="193">
        <f t="shared" si="93"/>
        <v>-4.1847578264465592E-4</v>
      </c>
    </row>
    <row r="233" spans="1:58" x14ac:dyDescent="0.25">
      <c r="A233" s="113">
        <v>37</v>
      </c>
      <c r="B233" s="5">
        <f>SUMIF($AY$52:$BD$192,$A$233*1000+B194,$A$52:$F$192)</f>
        <v>0</v>
      </c>
      <c r="C233" s="5">
        <f>SUMIF($AY$52:$BD$192,$A$233*1000+C194,$A$52:$F$192)</f>
        <v>0</v>
      </c>
      <c r="D233" s="5">
        <f>SUMIF($AY$52:$BD$192,$A$233*1000+D194,$A$52:$F$192)</f>
        <v>0</v>
      </c>
      <c r="E233" s="267">
        <f>SUMIF($AY$52:$BD$192,$A$233*1000+E194,$A$52:$F$192)</f>
        <v>0</v>
      </c>
      <c r="F233" s="276">
        <v>0</v>
      </c>
      <c r="G233" s="276">
        <v>0</v>
      </c>
      <c r="H233" s="276">
        <v>0</v>
      </c>
      <c r="I233" s="276">
        <v>0</v>
      </c>
      <c r="J233" s="276">
        <v>0</v>
      </c>
      <c r="K233" s="276">
        <v>0</v>
      </c>
      <c r="L233" s="276">
        <v>0</v>
      </c>
      <c r="M233" s="276">
        <v>0</v>
      </c>
      <c r="N233" s="276">
        <v>0</v>
      </c>
      <c r="O233" s="276">
        <v>0</v>
      </c>
      <c r="P233" s="276">
        <v>0</v>
      </c>
      <c r="Q233" s="276">
        <v>0</v>
      </c>
      <c r="R233" s="276">
        <v>0</v>
      </c>
      <c r="S233" s="276">
        <v>0</v>
      </c>
      <c r="T233" s="276">
        <v>0</v>
      </c>
      <c r="U233" s="276">
        <v>0</v>
      </c>
      <c r="V233" s="276">
        <v>0</v>
      </c>
      <c r="W233" s="276">
        <v>0</v>
      </c>
      <c r="X233" s="276">
        <v>0</v>
      </c>
      <c r="Y233" s="276">
        <v>0</v>
      </c>
      <c r="Z233" s="276">
        <v>0</v>
      </c>
      <c r="AA233" s="276">
        <v>0</v>
      </c>
      <c r="AB233" s="276">
        <v>0</v>
      </c>
      <c r="AC233" s="276">
        <v>0</v>
      </c>
      <c r="AD233" s="276">
        <v>0</v>
      </c>
      <c r="AE233" s="276">
        <v>0</v>
      </c>
      <c r="AF233" s="276">
        <v>0</v>
      </c>
      <c r="AG233" s="276">
        <v>0</v>
      </c>
      <c r="AH233" s="276">
        <v>0</v>
      </c>
      <c r="AI233" s="276">
        <v>0</v>
      </c>
      <c r="AJ233" s="276">
        <v>0</v>
      </c>
      <c r="AK233" s="276">
        <f t="shared" ref="AK233:AM235" si="106">A154</f>
        <v>-3499149.0169205903</v>
      </c>
      <c r="AL233" s="276">
        <f t="shared" si="106"/>
        <v>671958.53451505699</v>
      </c>
      <c r="AM233" s="276">
        <f t="shared" si="106"/>
        <v>-10141435.985754529</v>
      </c>
      <c r="AN233" s="279">
        <f t="shared" ref="AN233:AP235" si="107">D154+A160</f>
        <v>7313421.0169205908</v>
      </c>
      <c r="AO233" s="276">
        <f t="shared" si="107"/>
        <v>-671958.53451505699</v>
      </c>
      <c r="AP233" s="276">
        <f t="shared" si="107"/>
        <v>180572164.01424548</v>
      </c>
      <c r="AQ233" s="276">
        <f t="shared" ref="AQ233:AS235" si="108">D160</f>
        <v>-3814272</v>
      </c>
      <c r="AR233" s="276">
        <f t="shared" si="108"/>
        <v>0</v>
      </c>
      <c r="AS233" s="276">
        <f t="shared" si="108"/>
        <v>190713600</v>
      </c>
      <c r="AT233" s="276">
        <v>0</v>
      </c>
      <c r="AU233" s="276">
        <v>0</v>
      </c>
      <c r="AV233" s="276">
        <v>0</v>
      </c>
      <c r="AW233" s="276">
        <v>0</v>
      </c>
      <c r="AX233" s="276">
        <v>0</v>
      </c>
      <c r="AY233" s="276">
        <v>0</v>
      </c>
      <c r="AZ233" s="278">
        <v>0</v>
      </c>
      <c r="BB233" s="269" t="s">
        <v>315</v>
      </c>
      <c r="BC233" s="270"/>
      <c r="BD233" s="269">
        <f>Z43</f>
        <v>0</v>
      </c>
      <c r="BE233" s="254"/>
      <c r="BF233" s="193">
        <f t="shared" si="93"/>
        <v>0.53530466148290456</v>
      </c>
    </row>
    <row r="234" spans="1:58" x14ac:dyDescent="0.25">
      <c r="A234" s="113">
        <v>38</v>
      </c>
      <c r="B234" s="5">
        <f>SUMIF($AY$52:$BD$192,$A$234*1000+B194,$A$52:$F$192)</f>
        <v>0</v>
      </c>
      <c r="C234" s="5">
        <f>SUMIF($AY$52:$BD$192,$A$234*1000+C194,$A$52:$F$192)</f>
        <v>0</v>
      </c>
      <c r="D234" s="5">
        <f>SUMIF($AY$52:$BD$192,$A$234*1000+D194,$A$52:$F$192)</f>
        <v>0</v>
      </c>
      <c r="E234" s="267">
        <f>SUMIF($AY$52:$BD$192,$A$234*1000+E194,$A$52:$F$192)</f>
        <v>0</v>
      </c>
      <c r="F234" s="276">
        <v>0</v>
      </c>
      <c r="G234" s="276">
        <v>0</v>
      </c>
      <c r="H234" s="276">
        <v>0</v>
      </c>
      <c r="I234" s="276">
        <v>0</v>
      </c>
      <c r="J234" s="276">
        <v>0</v>
      </c>
      <c r="K234" s="276">
        <v>0</v>
      </c>
      <c r="L234" s="276">
        <v>0</v>
      </c>
      <c r="M234" s="276">
        <v>0</v>
      </c>
      <c r="N234" s="276">
        <v>0</v>
      </c>
      <c r="O234" s="276">
        <v>0</v>
      </c>
      <c r="P234" s="276">
        <v>0</v>
      </c>
      <c r="Q234" s="276">
        <v>0</v>
      </c>
      <c r="R234" s="276">
        <v>0</v>
      </c>
      <c r="S234" s="276">
        <v>0</v>
      </c>
      <c r="T234" s="276">
        <v>0</v>
      </c>
      <c r="U234" s="276">
        <v>0</v>
      </c>
      <c r="V234" s="276">
        <v>0</v>
      </c>
      <c r="W234" s="276">
        <v>0</v>
      </c>
      <c r="X234" s="276">
        <v>0</v>
      </c>
      <c r="Y234" s="276">
        <v>0</v>
      </c>
      <c r="Z234" s="276">
        <v>0</v>
      </c>
      <c r="AA234" s="276">
        <v>0</v>
      </c>
      <c r="AB234" s="276">
        <v>0</v>
      </c>
      <c r="AC234" s="276">
        <v>0</v>
      </c>
      <c r="AD234" s="276">
        <v>0</v>
      </c>
      <c r="AE234" s="276">
        <v>0</v>
      </c>
      <c r="AF234" s="276">
        <v>0</v>
      </c>
      <c r="AG234" s="276">
        <v>0</v>
      </c>
      <c r="AH234" s="276">
        <v>0</v>
      </c>
      <c r="AI234" s="276">
        <v>0</v>
      </c>
      <c r="AJ234" s="276">
        <v>0</v>
      </c>
      <c r="AK234" s="276">
        <f t="shared" si="106"/>
        <v>671958.53451505699</v>
      </c>
      <c r="AL234" s="276">
        <f t="shared" si="106"/>
        <v>-979304.51248912641</v>
      </c>
      <c r="AM234" s="276">
        <f t="shared" si="106"/>
        <v>-40565743.943018116</v>
      </c>
      <c r="AN234" s="276">
        <f t="shared" si="107"/>
        <v>-671958.53451505699</v>
      </c>
      <c r="AO234" s="279">
        <f t="shared" si="107"/>
        <v>6019304.5124891261</v>
      </c>
      <c r="AP234" s="276">
        <f t="shared" si="107"/>
        <v>-40565743.943018116</v>
      </c>
      <c r="AQ234" s="276">
        <f t="shared" si="108"/>
        <v>0</v>
      </c>
      <c r="AR234" s="276">
        <f t="shared" si="108"/>
        <v>-5040000</v>
      </c>
      <c r="AS234" s="276">
        <f t="shared" si="108"/>
        <v>0</v>
      </c>
      <c r="AT234" s="276">
        <v>0</v>
      </c>
      <c r="AU234" s="276">
        <v>0</v>
      </c>
      <c r="AV234" s="276">
        <v>0</v>
      </c>
      <c r="AW234" s="276">
        <v>0</v>
      </c>
      <c r="AX234" s="276">
        <v>0</v>
      </c>
      <c r="AY234" s="276">
        <v>0</v>
      </c>
      <c r="AZ234" s="278">
        <v>0</v>
      </c>
      <c r="BB234" s="269" t="s">
        <v>316</v>
      </c>
      <c r="BC234" s="270"/>
      <c r="BD234" s="269">
        <f>AA43</f>
        <v>0</v>
      </c>
      <c r="BE234" s="254"/>
      <c r="BF234" s="193">
        <f t="shared" si="93"/>
        <v>-1.3189183501690945E-3</v>
      </c>
    </row>
    <row r="235" spans="1:58" x14ac:dyDescent="0.25">
      <c r="A235" s="113">
        <v>39</v>
      </c>
      <c r="B235" s="5">
        <f>SUMIF($AY$52:$BD$192,$A$235*1000+B194,$A$52:$F$192)</f>
        <v>0</v>
      </c>
      <c r="C235" s="5">
        <f>SUMIF($AY$52:$BD$192,$A$235*1000+C194,$A$52:$F$192)</f>
        <v>0</v>
      </c>
      <c r="D235" s="5">
        <f>SUMIF($AY$52:$BD$192,$A$235*1000+D194,$A$52:$F$192)</f>
        <v>0</v>
      </c>
      <c r="E235" s="267">
        <f>SUMIF($AY$52:$BD$192,$A$235*1000+E194,$A$52:$F$192)</f>
        <v>0</v>
      </c>
      <c r="F235" s="276">
        <v>0</v>
      </c>
      <c r="G235" s="276">
        <v>0</v>
      </c>
      <c r="H235" s="276">
        <v>0</v>
      </c>
      <c r="I235" s="276">
        <v>0</v>
      </c>
      <c r="J235" s="276">
        <v>0</v>
      </c>
      <c r="K235" s="276">
        <v>0</v>
      </c>
      <c r="L235" s="276">
        <v>0</v>
      </c>
      <c r="M235" s="276">
        <v>0</v>
      </c>
      <c r="N235" s="276">
        <v>0</v>
      </c>
      <c r="O235" s="276">
        <v>0</v>
      </c>
      <c r="P235" s="276">
        <v>0</v>
      </c>
      <c r="Q235" s="276">
        <v>0</v>
      </c>
      <c r="R235" s="276">
        <v>0</v>
      </c>
      <c r="S235" s="276">
        <v>0</v>
      </c>
      <c r="T235" s="276">
        <v>0</v>
      </c>
      <c r="U235" s="276">
        <v>0</v>
      </c>
      <c r="V235" s="276">
        <v>0</v>
      </c>
      <c r="W235" s="276">
        <v>0</v>
      </c>
      <c r="X235" s="276">
        <v>0</v>
      </c>
      <c r="Y235" s="276">
        <v>0</v>
      </c>
      <c r="Z235" s="276">
        <v>0</v>
      </c>
      <c r="AA235" s="276">
        <v>0</v>
      </c>
      <c r="AB235" s="276">
        <v>0</v>
      </c>
      <c r="AC235" s="276">
        <v>0</v>
      </c>
      <c r="AD235" s="276">
        <v>0</v>
      </c>
      <c r="AE235" s="276">
        <v>0</v>
      </c>
      <c r="AF235" s="276">
        <v>0</v>
      </c>
      <c r="AG235" s="276">
        <v>0</v>
      </c>
      <c r="AH235" s="276">
        <v>0</v>
      </c>
      <c r="AI235" s="276">
        <v>0</v>
      </c>
      <c r="AJ235" s="276">
        <v>0</v>
      </c>
      <c r="AK235" s="276">
        <f t="shared" si="106"/>
        <v>10141435.985754529</v>
      </c>
      <c r="AL235" s="276">
        <f t="shared" si="106"/>
        <v>40565743.943018116</v>
      </c>
      <c r="AM235" s="276">
        <f t="shared" si="106"/>
        <v>1436703431.3152249</v>
      </c>
      <c r="AN235" s="276">
        <f t="shared" si="107"/>
        <v>180572164.01424548</v>
      </c>
      <c r="AO235" s="276">
        <f t="shared" si="107"/>
        <v>-40565743.943018116</v>
      </c>
      <c r="AP235" s="279">
        <f t="shared" si="107"/>
        <v>15587646862.630449</v>
      </c>
      <c r="AQ235" s="276">
        <f t="shared" si="108"/>
        <v>-190713600</v>
      </c>
      <c r="AR235" s="276">
        <f t="shared" si="108"/>
        <v>0</v>
      </c>
      <c r="AS235" s="276">
        <f t="shared" si="108"/>
        <v>6357120000</v>
      </c>
      <c r="AT235" s="276">
        <v>0</v>
      </c>
      <c r="AU235" s="276">
        <v>0</v>
      </c>
      <c r="AV235" s="276">
        <v>0</v>
      </c>
      <c r="AW235" s="276">
        <v>0</v>
      </c>
      <c r="AX235" s="276">
        <v>0</v>
      </c>
      <c r="AY235" s="276">
        <v>0</v>
      </c>
      <c r="AZ235" s="278">
        <v>0</v>
      </c>
      <c r="BB235" s="269" t="s">
        <v>317</v>
      </c>
      <c r="BC235" s="270"/>
      <c r="BD235" s="269">
        <f>AB43</f>
        <v>0</v>
      </c>
      <c r="BE235" s="254"/>
      <c r="BF235" s="193">
        <f t="shared" si="93"/>
        <v>-1.0503869168150982E-3</v>
      </c>
    </row>
    <row r="236" spans="1:58" x14ac:dyDescent="0.25">
      <c r="A236" s="113">
        <v>40</v>
      </c>
      <c r="B236" s="5">
        <f>SUMIF($AY$52:$BD$192,$A$236*1000+B194,$A$52:$F$192)</f>
        <v>0</v>
      </c>
      <c r="C236" s="5">
        <f>SUMIF($AY$52:$BD$192,$A$236*1000+C194,$A$52:$F$192)</f>
        <v>0</v>
      </c>
      <c r="D236" s="5">
        <f>SUMIF($AY$52:$BD$192,$A$236*1000+D194,$A$52:$F$192)</f>
        <v>0</v>
      </c>
      <c r="E236" s="267">
        <f>SUMIF($AY$52:$BD$192,$A$236*1000+E194,$A$52:$F$192)</f>
        <v>0</v>
      </c>
      <c r="F236" s="276">
        <v>0</v>
      </c>
      <c r="G236" s="276">
        <v>0</v>
      </c>
      <c r="H236" s="276">
        <v>0</v>
      </c>
      <c r="I236" s="276">
        <v>0</v>
      </c>
      <c r="J236" s="276">
        <v>0</v>
      </c>
      <c r="K236" s="276">
        <v>0</v>
      </c>
      <c r="L236" s="276">
        <v>0</v>
      </c>
      <c r="M236" s="276">
        <v>0</v>
      </c>
      <c r="N236" s="276">
        <v>0</v>
      </c>
      <c r="O236" s="276">
        <v>0</v>
      </c>
      <c r="P236" s="276">
        <v>0</v>
      </c>
      <c r="Q236" s="276">
        <v>0</v>
      </c>
      <c r="R236" s="276">
        <v>0</v>
      </c>
      <c r="S236" s="276">
        <v>0</v>
      </c>
      <c r="T236" s="276">
        <v>0</v>
      </c>
      <c r="U236" s="276">
        <v>0</v>
      </c>
      <c r="V236" s="276">
        <v>0</v>
      </c>
      <c r="W236" s="276">
        <v>0</v>
      </c>
      <c r="X236" s="276">
        <v>0</v>
      </c>
      <c r="Y236" s="276">
        <v>0</v>
      </c>
      <c r="Z236" s="276">
        <v>0</v>
      </c>
      <c r="AA236" s="276">
        <v>0</v>
      </c>
      <c r="AB236" s="276">
        <v>0</v>
      </c>
      <c r="AC236" s="276">
        <v>0</v>
      </c>
      <c r="AD236" s="276">
        <v>0</v>
      </c>
      <c r="AE236" s="276">
        <v>0</v>
      </c>
      <c r="AF236" s="276">
        <v>0</v>
      </c>
      <c r="AG236" s="276">
        <v>0</v>
      </c>
      <c r="AH236" s="276">
        <v>0</v>
      </c>
      <c r="AI236" s="276">
        <v>0</v>
      </c>
      <c r="AJ236" s="276">
        <v>0</v>
      </c>
      <c r="AK236" s="276">
        <v>0</v>
      </c>
      <c r="AL236" s="276">
        <v>0</v>
      </c>
      <c r="AM236" s="276">
        <v>0</v>
      </c>
      <c r="AN236" s="276">
        <f t="shared" ref="AN236:AP238" si="109">A163</f>
        <v>-3814272</v>
      </c>
      <c r="AO236" s="276">
        <f t="shared" si="109"/>
        <v>0</v>
      </c>
      <c r="AP236" s="276">
        <f t="shared" si="109"/>
        <v>-190713600</v>
      </c>
      <c r="AQ236" s="288">
        <f t="shared" ref="AQ236:AS238" si="110">D163+A169</f>
        <v>6384504</v>
      </c>
      <c r="AR236" s="276">
        <f t="shared" si="110"/>
        <v>0</v>
      </c>
      <c r="AS236" s="276">
        <f t="shared" si="110"/>
        <v>-62202000</v>
      </c>
      <c r="AT236" s="276">
        <f t="shared" ref="AT236:AV238" si="111">D169</f>
        <v>-2570232</v>
      </c>
      <c r="AU236" s="276">
        <f t="shared" si="111"/>
        <v>0</v>
      </c>
      <c r="AV236" s="276">
        <f t="shared" si="111"/>
        <v>128511600</v>
      </c>
      <c r="AW236" s="276">
        <v>0</v>
      </c>
      <c r="AX236" s="276">
        <v>0</v>
      </c>
      <c r="AY236" s="276">
        <v>0</v>
      </c>
      <c r="AZ236" s="278">
        <v>0</v>
      </c>
      <c r="BB236" s="269" t="s">
        <v>318</v>
      </c>
      <c r="BC236" s="270"/>
      <c r="BD236" s="269">
        <f>Z44</f>
        <v>0</v>
      </c>
      <c r="BE236" s="254"/>
      <c r="BF236" s="193">
        <f t="shared" si="93"/>
        <v>0.42291380128099526</v>
      </c>
    </row>
    <row r="237" spans="1:58" x14ac:dyDescent="0.25">
      <c r="A237" s="113">
        <v>41</v>
      </c>
      <c r="B237" s="5">
        <f>SUMIF($AY$52:$BD$192,$A$237*1000+B194,$A$52:$F$192)</f>
        <v>0</v>
      </c>
      <c r="C237" s="5">
        <f>SUMIF($AY$52:$BD$192,$A$237*1000+C194,$A$52:$F$192)</f>
        <v>0</v>
      </c>
      <c r="D237" s="5">
        <f>SUMIF($AY$52:$BD$192,$A$237*1000+D194,$A$52:$F$192)</f>
        <v>0</v>
      </c>
      <c r="E237" s="267">
        <f>SUMIF($AY$52:$BD$192,$A$237*1000+E194,$A$52:$F$192)</f>
        <v>0</v>
      </c>
      <c r="F237" s="276">
        <v>0</v>
      </c>
      <c r="G237" s="276">
        <v>0</v>
      </c>
      <c r="H237" s="276">
        <v>0</v>
      </c>
      <c r="I237" s="276">
        <v>0</v>
      </c>
      <c r="J237" s="276">
        <v>0</v>
      </c>
      <c r="K237" s="276">
        <v>0</v>
      </c>
      <c r="L237" s="276">
        <v>0</v>
      </c>
      <c r="M237" s="276">
        <v>0</v>
      </c>
      <c r="N237" s="276">
        <v>0</v>
      </c>
      <c r="O237" s="276">
        <v>0</v>
      </c>
      <c r="P237" s="276">
        <v>0</v>
      </c>
      <c r="Q237" s="276">
        <v>0</v>
      </c>
      <c r="R237" s="276">
        <v>0</v>
      </c>
      <c r="S237" s="276">
        <v>0</v>
      </c>
      <c r="T237" s="276">
        <v>0</v>
      </c>
      <c r="U237" s="276">
        <v>0</v>
      </c>
      <c r="V237" s="276">
        <v>0</v>
      </c>
      <c r="W237" s="276">
        <v>0</v>
      </c>
      <c r="X237" s="276">
        <v>0</v>
      </c>
      <c r="Y237" s="276">
        <v>0</v>
      </c>
      <c r="Z237" s="276">
        <v>0</v>
      </c>
      <c r="AA237" s="276">
        <v>0</v>
      </c>
      <c r="AB237" s="276">
        <v>0</v>
      </c>
      <c r="AC237" s="276">
        <v>0</v>
      </c>
      <c r="AD237" s="276">
        <v>0</v>
      </c>
      <c r="AE237" s="276">
        <v>0</v>
      </c>
      <c r="AF237" s="276">
        <v>0</v>
      </c>
      <c r="AG237" s="276">
        <v>0</v>
      </c>
      <c r="AH237" s="276">
        <v>0</v>
      </c>
      <c r="AI237" s="276">
        <v>0</v>
      </c>
      <c r="AJ237" s="276">
        <v>0</v>
      </c>
      <c r="AK237" s="276">
        <v>0</v>
      </c>
      <c r="AL237" s="276">
        <v>0</v>
      </c>
      <c r="AM237" s="276">
        <v>0</v>
      </c>
      <c r="AN237" s="276">
        <f t="shared" si="109"/>
        <v>0</v>
      </c>
      <c r="AO237" s="276">
        <f t="shared" si="109"/>
        <v>-5040000</v>
      </c>
      <c r="AP237" s="276">
        <f t="shared" si="109"/>
        <v>0</v>
      </c>
      <c r="AQ237" s="276">
        <f t="shared" si="110"/>
        <v>0</v>
      </c>
      <c r="AR237" s="288">
        <f t="shared" si="110"/>
        <v>9660000</v>
      </c>
      <c r="AS237" s="276">
        <f t="shared" si="110"/>
        <v>0</v>
      </c>
      <c r="AT237" s="276">
        <f t="shared" si="111"/>
        <v>0</v>
      </c>
      <c r="AU237" s="276">
        <f t="shared" si="111"/>
        <v>-4620000</v>
      </c>
      <c r="AV237" s="276">
        <f t="shared" si="111"/>
        <v>0</v>
      </c>
      <c r="AW237" s="276">
        <v>0</v>
      </c>
      <c r="AX237" s="276">
        <v>0</v>
      </c>
      <c r="AY237" s="276">
        <v>0</v>
      </c>
      <c r="AZ237" s="278">
        <v>0</v>
      </c>
      <c r="BB237" s="269" t="s">
        <v>319</v>
      </c>
      <c r="BC237" s="270"/>
      <c r="BD237" s="269">
        <f>AA44</f>
        <v>0</v>
      </c>
      <c r="BE237" s="254"/>
      <c r="BF237" s="193">
        <f>O7</f>
        <v>-1.0337000962006796E-3</v>
      </c>
    </row>
    <row r="238" spans="1:58" x14ac:dyDescent="0.25">
      <c r="A238" s="113">
        <v>42</v>
      </c>
      <c r="B238" s="5">
        <f>SUMIF($AY$52:$BD$192,$A$238*1000+B194,$A$52:$F$192)</f>
        <v>0</v>
      </c>
      <c r="C238" s="5">
        <f>SUMIF($AY$52:$BD$192,$A$238*1000+C194,$A$52:$F$192)</f>
        <v>0</v>
      </c>
      <c r="D238" s="5">
        <f>SUMIF($AY$52:$BD$192,$A$238*1000+D194,$A$52:$F$192)</f>
        <v>0</v>
      </c>
      <c r="E238" s="267">
        <f>SUMIF($AY$52:$BD$192,$A$238*1000+E194,$A$52:$F$192)</f>
        <v>0</v>
      </c>
      <c r="F238" s="276">
        <v>0</v>
      </c>
      <c r="G238" s="276">
        <v>0</v>
      </c>
      <c r="H238" s="276">
        <v>0</v>
      </c>
      <c r="I238" s="276">
        <v>0</v>
      </c>
      <c r="J238" s="276">
        <v>0</v>
      </c>
      <c r="K238" s="276">
        <v>0</v>
      </c>
      <c r="L238" s="276">
        <v>0</v>
      </c>
      <c r="M238" s="276">
        <v>0</v>
      </c>
      <c r="N238" s="276">
        <v>0</v>
      </c>
      <c r="O238" s="276">
        <v>0</v>
      </c>
      <c r="P238" s="276">
        <v>0</v>
      </c>
      <c r="Q238" s="276">
        <v>0</v>
      </c>
      <c r="R238" s="276">
        <v>0</v>
      </c>
      <c r="S238" s="276">
        <v>0</v>
      </c>
      <c r="T238" s="276">
        <v>0</v>
      </c>
      <c r="U238" s="276">
        <v>0</v>
      </c>
      <c r="V238" s="276">
        <v>0</v>
      </c>
      <c r="W238" s="276">
        <v>0</v>
      </c>
      <c r="X238" s="276">
        <v>0</v>
      </c>
      <c r="Y238" s="276">
        <v>0</v>
      </c>
      <c r="Z238" s="276">
        <v>0</v>
      </c>
      <c r="AA238" s="276">
        <v>0</v>
      </c>
      <c r="AB238" s="276">
        <v>0</v>
      </c>
      <c r="AC238" s="276">
        <v>0</v>
      </c>
      <c r="AD238" s="276">
        <v>0</v>
      </c>
      <c r="AE238" s="276">
        <v>0</v>
      </c>
      <c r="AF238" s="276">
        <v>0</v>
      </c>
      <c r="AG238" s="276">
        <v>0</v>
      </c>
      <c r="AH238" s="276">
        <v>0</v>
      </c>
      <c r="AI238" s="276">
        <v>0</v>
      </c>
      <c r="AJ238" s="276">
        <v>0</v>
      </c>
      <c r="AK238" s="276">
        <v>0</v>
      </c>
      <c r="AL238" s="276">
        <v>0</v>
      </c>
      <c r="AM238" s="276">
        <v>0</v>
      </c>
      <c r="AN238" s="276">
        <f t="shared" si="109"/>
        <v>190713600</v>
      </c>
      <c r="AO238" s="276">
        <f t="shared" si="109"/>
        <v>0</v>
      </c>
      <c r="AP238" s="276">
        <f t="shared" si="109"/>
        <v>6357120000</v>
      </c>
      <c r="AQ238" s="276">
        <f t="shared" si="110"/>
        <v>-62202000</v>
      </c>
      <c r="AR238" s="276">
        <f t="shared" si="110"/>
        <v>0</v>
      </c>
      <c r="AS238" s="288">
        <f t="shared" si="110"/>
        <v>21281680000</v>
      </c>
      <c r="AT238" s="276">
        <f t="shared" si="111"/>
        <v>-128511600</v>
      </c>
      <c r="AU238" s="276">
        <f t="shared" si="111"/>
        <v>0</v>
      </c>
      <c r="AV238" s="276">
        <f t="shared" si="111"/>
        <v>4283720000</v>
      </c>
      <c r="AW238" s="276">
        <v>0</v>
      </c>
      <c r="AX238" s="276">
        <v>0</v>
      </c>
      <c r="AY238" s="276">
        <v>0</v>
      </c>
      <c r="AZ238" s="278">
        <v>0</v>
      </c>
      <c r="BB238" s="269" t="s">
        <v>320</v>
      </c>
      <c r="BC238" s="270"/>
      <c r="BD238" s="269">
        <f>AB44</f>
        <v>0</v>
      </c>
      <c r="BE238" s="254"/>
      <c r="BF238" s="193">
        <f>O8</f>
        <v>-1.190746497659087E-3</v>
      </c>
    </row>
    <row r="239" spans="1:58" x14ac:dyDescent="0.25">
      <c r="A239" s="113">
        <v>43</v>
      </c>
      <c r="B239" s="5">
        <f>SUMIF($AY$52:$BD$192,$A$239*1000+B194,$A$52:$F$192)</f>
        <v>0</v>
      </c>
      <c r="C239" s="5">
        <f>SUMIF($AY$52:$BD$192,$A$239*1000+C194,$A$52:$F$192)</f>
        <v>0</v>
      </c>
      <c r="D239" s="5">
        <f>SUMIF($AY$52:$BD$192,$A$239*1000+D194,$A$52:$F$192)</f>
        <v>0</v>
      </c>
      <c r="E239" s="267">
        <f>SUMIF($AY$52:$BD$192,$A$239*1000+E194,$A$52:$F$192)</f>
        <v>0</v>
      </c>
      <c r="F239" s="276">
        <v>0</v>
      </c>
      <c r="G239" s="276">
        <v>0</v>
      </c>
      <c r="H239" s="276">
        <v>0</v>
      </c>
      <c r="I239" s="276">
        <v>0</v>
      </c>
      <c r="J239" s="276">
        <v>0</v>
      </c>
      <c r="K239" s="276">
        <v>0</v>
      </c>
      <c r="L239" s="276">
        <v>0</v>
      </c>
      <c r="M239" s="276">
        <v>0</v>
      </c>
      <c r="N239" s="276">
        <v>0</v>
      </c>
      <c r="O239" s="276">
        <v>0</v>
      </c>
      <c r="P239" s="276">
        <v>0</v>
      </c>
      <c r="Q239" s="276">
        <v>0</v>
      </c>
      <c r="R239" s="276">
        <v>0</v>
      </c>
      <c r="S239" s="276">
        <v>0</v>
      </c>
      <c r="T239" s="276">
        <v>0</v>
      </c>
      <c r="U239" s="276">
        <v>0</v>
      </c>
      <c r="V239" s="276">
        <v>0</v>
      </c>
      <c r="W239" s="276">
        <v>0</v>
      </c>
      <c r="X239" s="276">
        <v>0</v>
      </c>
      <c r="Y239" s="276">
        <v>0</v>
      </c>
      <c r="Z239" s="276">
        <v>0</v>
      </c>
      <c r="AA239" s="276">
        <v>0</v>
      </c>
      <c r="AB239" s="276">
        <v>0</v>
      </c>
      <c r="AC239" s="276">
        <v>0</v>
      </c>
      <c r="AD239" s="276">
        <v>0</v>
      </c>
      <c r="AE239" s="276">
        <v>0</v>
      </c>
      <c r="AF239" s="276">
        <v>0</v>
      </c>
      <c r="AG239" s="276">
        <v>0</v>
      </c>
      <c r="AH239" s="276">
        <v>0</v>
      </c>
      <c r="AI239" s="276">
        <v>0</v>
      </c>
      <c r="AJ239" s="276">
        <v>0</v>
      </c>
      <c r="AK239" s="276">
        <v>0</v>
      </c>
      <c r="AL239" s="276">
        <v>0</v>
      </c>
      <c r="AM239" s="276">
        <v>0</v>
      </c>
      <c r="AN239" s="276">
        <v>0</v>
      </c>
      <c r="AO239" s="276">
        <v>0</v>
      </c>
      <c r="AP239" s="276">
        <v>0</v>
      </c>
      <c r="AQ239" s="276">
        <f t="shared" ref="AQ239:AS241" si="112">A172</f>
        <v>-2570232</v>
      </c>
      <c r="AR239" s="276">
        <f t="shared" si="112"/>
        <v>0</v>
      </c>
      <c r="AS239" s="276">
        <f t="shared" si="112"/>
        <v>-128511600</v>
      </c>
      <c r="AT239" s="288">
        <f t="shared" ref="AT239:AV241" si="113">D172+A178</f>
        <v>4173624</v>
      </c>
      <c r="AU239" s="276">
        <f t="shared" si="113"/>
        <v>0</v>
      </c>
      <c r="AV239" s="276">
        <f t="shared" si="113"/>
        <v>-48342000</v>
      </c>
      <c r="AW239" s="276">
        <f t="shared" ref="AW239:AY241" si="114">D178</f>
        <v>-1603392</v>
      </c>
      <c r="AX239" s="276">
        <f t="shared" si="114"/>
        <v>0</v>
      </c>
      <c r="AY239" s="276">
        <f t="shared" si="114"/>
        <v>80169600</v>
      </c>
      <c r="AZ239" s="278">
        <v>0</v>
      </c>
      <c r="BB239" s="269" t="s">
        <v>321</v>
      </c>
      <c r="BC239" s="270"/>
      <c r="BD239" s="269">
        <f>Z45</f>
        <v>0</v>
      </c>
      <c r="BE239" s="254"/>
      <c r="BF239" s="193">
        <f>O9</f>
        <v>0.29590405728612845</v>
      </c>
    </row>
    <row r="240" spans="1:58" x14ac:dyDescent="0.25">
      <c r="A240" s="113">
        <v>44</v>
      </c>
      <c r="B240" s="5">
        <f>SUMIF($AY$52:$BD$192,$A$240*1000+B194,$A$52:$F$192)</f>
        <v>0</v>
      </c>
      <c r="C240" s="5">
        <f>SUMIF($AY$52:$BD$192,$A$240*1000+C194,$A$52:$F$192)</f>
        <v>0</v>
      </c>
      <c r="D240" s="5">
        <f>SUMIF($AY$52:$BD$192,$A$240*1000+D194,$A$52:$F$192)</f>
        <v>0</v>
      </c>
      <c r="E240" s="267">
        <f>SUMIF($AY$52:$BD$192,$A$240*1000+E194,$A$52:$F$192)</f>
        <v>0</v>
      </c>
      <c r="F240" s="276">
        <v>0</v>
      </c>
      <c r="G240" s="276">
        <v>0</v>
      </c>
      <c r="H240" s="276">
        <v>0</v>
      </c>
      <c r="I240" s="276">
        <v>0</v>
      </c>
      <c r="J240" s="276">
        <v>0</v>
      </c>
      <c r="K240" s="276">
        <v>0</v>
      </c>
      <c r="L240" s="276">
        <v>0</v>
      </c>
      <c r="M240" s="276">
        <v>0</v>
      </c>
      <c r="N240" s="276">
        <v>0</v>
      </c>
      <c r="O240" s="276">
        <v>0</v>
      </c>
      <c r="P240" s="276">
        <v>0</v>
      </c>
      <c r="Q240" s="276">
        <v>0</v>
      </c>
      <c r="R240" s="276">
        <v>0</v>
      </c>
      <c r="S240" s="276">
        <v>0</v>
      </c>
      <c r="T240" s="276">
        <v>0</v>
      </c>
      <c r="U240" s="276">
        <v>0</v>
      </c>
      <c r="V240" s="276">
        <v>0</v>
      </c>
      <c r="W240" s="276">
        <v>0</v>
      </c>
      <c r="X240" s="276">
        <v>0</v>
      </c>
      <c r="Y240" s="276">
        <v>0</v>
      </c>
      <c r="Z240" s="276">
        <v>0</v>
      </c>
      <c r="AA240" s="276">
        <v>0</v>
      </c>
      <c r="AB240" s="276">
        <v>0</v>
      </c>
      <c r="AC240" s="276">
        <v>0</v>
      </c>
      <c r="AD240" s="276">
        <v>0</v>
      </c>
      <c r="AE240" s="276">
        <v>0</v>
      </c>
      <c r="AF240" s="276">
        <v>0</v>
      </c>
      <c r="AG240" s="276">
        <v>0</v>
      </c>
      <c r="AH240" s="276">
        <v>0</v>
      </c>
      <c r="AI240" s="276">
        <v>0</v>
      </c>
      <c r="AJ240" s="276">
        <v>0</v>
      </c>
      <c r="AK240" s="276">
        <v>0</v>
      </c>
      <c r="AL240" s="276">
        <v>0</v>
      </c>
      <c r="AM240" s="276">
        <v>0</v>
      </c>
      <c r="AN240" s="276">
        <v>0</v>
      </c>
      <c r="AO240" s="276">
        <v>0</v>
      </c>
      <c r="AP240" s="276">
        <v>0</v>
      </c>
      <c r="AQ240" s="276">
        <f t="shared" si="112"/>
        <v>0</v>
      </c>
      <c r="AR240" s="276">
        <f t="shared" si="112"/>
        <v>-4620000</v>
      </c>
      <c r="AS240" s="276">
        <f t="shared" si="112"/>
        <v>0</v>
      </c>
      <c r="AT240" s="276">
        <f t="shared" si="113"/>
        <v>0</v>
      </c>
      <c r="AU240" s="288">
        <f t="shared" si="113"/>
        <v>8820000</v>
      </c>
      <c r="AV240" s="276">
        <f t="shared" si="113"/>
        <v>0</v>
      </c>
      <c r="AW240" s="276">
        <f t="shared" si="114"/>
        <v>0</v>
      </c>
      <c r="AX240" s="276">
        <f t="shared" si="114"/>
        <v>-4200000</v>
      </c>
      <c r="AY240" s="276">
        <f t="shared" si="114"/>
        <v>0</v>
      </c>
      <c r="AZ240" s="278">
        <v>0</v>
      </c>
      <c r="BB240" s="269" t="s">
        <v>322</v>
      </c>
      <c r="BC240" s="270"/>
      <c r="BD240" s="269">
        <f>AA45</f>
        <v>0</v>
      </c>
      <c r="BE240" s="254"/>
      <c r="BF240" s="193">
        <f t="shared" ref="BF240:BF245" si="115">O10</f>
        <v>-7.2255291005331786E-4</v>
      </c>
    </row>
    <row r="241" spans="1:59" x14ac:dyDescent="0.25">
      <c r="A241" s="113">
        <v>45</v>
      </c>
      <c r="B241" s="5">
        <f>SUMIF($AY$52:$BD$192,$A$241*1000+B194,$A$52:$F$192)</f>
        <v>0</v>
      </c>
      <c r="C241" s="5">
        <f>SUMIF($AY$52:$BD$192,$A$241*1000+C194,$A$52:$F$192)</f>
        <v>0</v>
      </c>
      <c r="D241" s="5">
        <f>SUMIF($AY$52:$BD$192,$A$241*1000+D194,$A$52:$F$192)</f>
        <v>0</v>
      </c>
      <c r="E241" s="267">
        <f>SUMIF($AY$52:$BD$192,$A$241*1000+E194,$A$52:$F$192)</f>
        <v>0</v>
      </c>
      <c r="F241" s="276">
        <v>0</v>
      </c>
      <c r="G241" s="276">
        <v>0</v>
      </c>
      <c r="H241" s="276">
        <v>0</v>
      </c>
      <c r="I241" s="276">
        <v>0</v>
      </c>
      <c r="J241" s="276">
        <v>0</v>
      </c>
      <c r="K241" s="276">
        <v>0</v>
      </c>
      <c r="L241" s="276">
        <v>0</v>
      </c>
      <c r="M241" s="276">
        <v>0</v>
      </c>
      <c r="N241" s="276">
        <v>0</v>
      </c>
      <c r="O241" s="276">
        <v>0</v>
      </c>
      <c r="P241" s="276">
        <v>0</v>
      </c>
      <c r="Q241" s="276">
        <v>0</v>
      </c>
      <c r="R241" s="276">
        <v>0</v>
      </c>
      <c r="S241" s="276">
        <v>0</v>
      </c>
      <c r="T241" s="276">
        <v>0</v>
      </c>
      <c r="U241" s="276">
        <v>0</v>
      </c>
      <c r="V241" s="276">
        <v>0</v>
      </c>
      <c r="W241" s="276">
        <v>0</v>
      </c>
      <c r="X241" s="276">
        <v>0</v>
      </c>
      <c r="Y241" s="276">
        <v>0</v>
      </c>
      <c r="Z241" s="276">
        <v>0</v>
      </c>
      <c r="AA241" s="276">
        <v>0</v>
      </c>
      <c r="AB241" s="276">
        <v>0</v>
      </c>
      <c r="AC241" s="276">
        <v>0</v>
      </c>
      <c r="AD241" s="276">
        <v>0</v>
      </c>
      <c r="AE241" s="276">
        <v>0</v>
      </c>
      <c r="AF241" s="276">
        <v>0</v>
      </c>
      <c r="AG241" s="276">
        <v>0</v>
      </c>
      <c r="AH241" s="276">
        <v>0</v>
      </c>
      <c r="AI241" s="276">
        <v>0</v>
      </c>
      <c r="AJ241" s="276">
        <v>0</v>
      </c>
      <c r="AK241" s="276">
        <v>0</v>
      </c>
      <c r="AL241" s="276">
        <v>0</v>
      </c>
      <c r="AM241" s="276">
        <v>0</v>
      </c>
      <c r="AN241" s="276">
        <v>0</v>
      </c>
      <c r="AO241" s="276">
        <v>0</v>
      </c>
      <c r="AP241" s="276">
        <v>0</v>
      </c>
      <c r="AQ241" s="276">
        <f t="shared" si="112"/>
        <v>128511600</v>
      </c>
      <c r="AR241" s="276">
        <f t="shared" si="112"/>
        <v>0</v>
      </c>
      <c r="AS241" s="276">
        <f t="shared" si="112"/>
        <v>4283720000</v>
      </c>
      <c r="AT241" s="276">
        <f t="shared" si="113"/>
        <v>-48342000</v>
      </c>
      <c r="AU241" s="276">
        <f t="shared" si="113"/>
        <v>0</v>
      </c>
      <c r="AV241" s="288">
        <f t="shared" si="113"/>
        <v>13912080000</v>
      </c>
      <c r="AW241" s="276">
        <f t="shared" si="114"/>
        <v>-80169600</v>
      </c>
      <c r="AX241" s="276">
        <f t="shared" si="114"/>
        <v>0</v>
      </c>
      <c r="AY241" s="276">
        <f t="shared" si="114"/>
        <v>2672320000</v>
      </c>
      <c r="AZ241" s="278">
        <v>0</v>
      </c>
      <c r="BB241" s="269" t="s">
        <v>323</v>
      </c>
      <c r="BC241" s="270"/>
      <c r="BD241" s="269">
        <f>AB45</f>
        <v>0</v>
      </c>
      <c r="BE241" s="254"/>
      <c r="BF241" s="193">
        <f t="shared" si="115"/>
        <v>-1.3395295144520527E-3</v>
      </c>
    </row>
    <row r="242" spans="1:59" x14ac:dyDescent="0.25">
      <c r="A242" s="113">
        <v>46</v>
      </c>
      <c r="B242" s="5">
        <f>SUMIF($AY$52:$BD$192,$A$242*1000+B194,$A$52:$F$192)</f>
        <v>0</v>
      </c>
      <c r="C242" s="5">
        <f>SUMIF($AY$52:$BD$192,$A$242*1000+C194,$A$52:$F$192)</f>
        <v>0</v>
      </c>
      <c r="D242" s="5">
        <f>SUMIF($AY$52:$BD$192,$A$242*1000+D194,$A$52:$F$192)</f>
        <v>-888552</v>
      </c>
      <c r="E242" s="267">
        <f>SUMIF($AY$52:$BD$192,$A$242*1000+E194,$A$52:$F$192)</f>
        <v>0</v>
      </c>
      <c r="F242" s="276">
        <v>0</v>
      </c>
      <c r="G242" s="276">
        <v>0</v>
      </c>
      <c r="H242" s="276">
        <v>0</v>
      </c>
      <c r="I242" s="276">
        <v>0</v>
      </c>
      <c r="J242" s="276">
        <v>0</v>
      </c>
      <c r="K242" s="276">
        <v>0</v>
      </c>
      <c r="L242" s="276">
        <v>0</v>
      </c>
      <c r="M242" s="276">
        <v>0</v>
      </c>
      <c r="N242" s="276">
        <v>0</v>
      </c>
      <c r="O242" s="276">
        <v>0</v>
      </c>
      <c r="P242" s="276">
        <v>0</v>
      </c>
      <c r="Q242" s="276">
        <v>0</v>
      </c>
      <c r="R242" s="276">
        <v>0</v>
      </c>
      <c r="S242" s="276">
        <v>0</v>
      </c>
      <c r="T242" s="276">
        <v>0</v>
      </c>
      <c r="U242" s="276">
        <v>0</v>
      </c>
      <c r="V242" s="276">
        <v>0</v>
      </c>
      <c r="W242" s="276">
        <v>0</v>
      </c>
      <c r="X242" s="276">
        <v>0</v>
      </c>
      <c r="Y242" s="276">
        <v>0</v>
      </c>
      <c r="Z242" s="276">
        <v>0</v>
      </c>
      <c r="AA242" s="276">
        <v>0</v>
      </c>
      <c r="AB242" s="276">
        <v>0</v>
      </c>
      <c r="AC242" s="276">
        <v>0</v>
      </c>
      <c r="AD242" s="276">
        <v>0</v>
      </c>
      <c r="AE242" s="276">
        <v>0</v>
      </c>
      <c r="AF242" s="276">
        <v>0</v>
      </c>
      <c r="AG242" s="276">
        <v>0</v>
      </c>
      <c r="AH242" s="276">
        <v>0</v>
      </c>
      <c r="AI242" s="276">
        <v>0</v>
      </c>
      <c r="AJ242" s="276">
        <v>0</v>
      </c>
      <c r="AK242" s="276">
        <v>0</v>
      </c>
      <c r="AL242" s="276">
        <v>0</v>
      </c>
      <c r="AM242" s="276">
        <v>0</v>
      </c>
      <c r="AN242" s="276">
        <v>0</v>
      </c>
      <c r="AO242" s="276">
        <v>0</v>
      </c>
      <c r="AP242" s="276">
        <v>0</v>
      </c>
      <c r="AQ242" s="276">
        <v>0</v>
      </c>
      <c r="AR242" s="276">
        <v>0</v>
      </c>
      <c r="AS242" s="276">
        <v>0</v>
      </c>
      <c r="AT242" s="276">
        <f t="shared" ref="AT242:AV244" si="116">A181</f>
        <v>-1603392</v>
      </c>
      <c r="AU242" s="276">
        <f t="shared" si="116"/>
        <v>0</v>
      </c>
      <c r="AV242" s="276">
        <f t="shared" si="116"/>
        <v>-80169600</v>
      </c>
      <c r="AW242" s="288">
        <f t="shared" ref="AW242:AY244" si="117">D181+A187</f>
        <v>2491944</v>
      </c>
      <c r="AX242" s="276">
        <f t="shared" si="117"/>
        <v>0</v>
      </c>
      <c r="AY242" s="276">
        <f t="shared" si="117"/>
        <v>-35742000</v>
      </c>
      <c r="AZ242" s="278">
        <f>F187</f>
        <v>44427600</v>
      </c>
      <c r="BB242" s="269" t="s">
        <v>324</v>
      </c>
      <c r="BC242" s="270"/>
      <c r="BD242" s="269">
        <f>Z46</f>
        <v>0</v>
      </c>
      <c r="BE242" s="254"/>
      <c r="BF242" s="193">
        <f t="shared" si="115"/>
        <v>0.15400114993873107</v>
      </c>
    </row>
    <row r="243" spans="1:59" x14ac:dyDescent="0.25">
      <c r="A243" s="113">
        <v>47</v>
      </c>
      <c r="B243" s="5">
        <f>SUMIF($AY$52:$BD$192,$A$243*1000+B194,$A$52:$F$192)</f>
        <v>0</v>
      </c>
      <c r="C243" s="5">
        <f>SUMIF($AY$52:$BD$192,$A$243*1000+C194,$A$52:$F$192)</f>
        <v>0</v>
      </c>
      <c r="D243" s="5">
        <f>SUMIF($AY$52:$BD$192,$A$243*1000+D194,$A$52:$F$192)</f>
        <v>0</v>
      </c>
      <c r="E243" s="267">
        <f>SUMIF($AY$52:$BD$192,$A$243*1000+E194,$A$52:$F$192)</f>
        <v>-3780000</v>
      </c>
      <c r="F243" s="276">
        <v>0</v>
      </c>
      <c r="G243" s="276">
        <v>0</v>
      </c>
      <c r="H243" s="276">
        <v>0</v>
      </c>
      <c r="I243" s="276">
        <v>0</v>
      </c>
      <c r="J243" s="276">
        <v>0</v>
      </c>
      <c r="K243" s="276">
        <v>0</v>
      </c>
      <c r="L243" s="276">
        <v>0</v>
      </c>
      <c r="M243" s="276">
        <v>0</v>
      </c>
      <c r="N243" s="276">
        <v>0</v>
      </c>
      <c r="O243" s="276">
        <v>0</v>
      </c>
      <c r="P243" s="276">
        <v>0</v>
      </c>
      <c r="Q243" s="276">
        <v>0</v>
      </c>
      <c r="R243" s="276">
        <v>0</v>
      </c>
      <c r="S243" s="276">
        <v>0</v>
      </c>
      <c r="T243" s="276">
        <v>0</v>
      </c>
      <c r="U243" s="276">
        <v>0</v>
      </c>
      <c r="V243" s="276">
        <v>0</v>
      </c>
      <c r="W243" s="276">
        <v>0</v>
      </c>
      <c r="X243" s="276">
        <v>0</v>
      </c>
      <c r="Y243" s="276">
        <v>0</v>
      </c>
      <c r="Z243" s="276">
        <v>0</v>
      </c>
      <c r="AA243" s="276">
        <v>0</v>
      </c>
      <c r="AB243" s="276">
        <v>0</v>
      </c>
      <c r="AC243" s="276">
        <v>0</v>
      </c>
      <c r="AD243" s="276">
        <v>0</v>
      </c>
      <c r="AE243" s="276">
        <v>0</v>
      </c>
      <c r="AF243" s="276">
        <v>0</v>
      </c>
      <c r="AG243" s="276">
        <v>0</v>
      </c>
      <c r="AH243" s="276">
        <v>0</v>
      </c>
      <c r="AI243" s="276">
        <v>0</v>
      </c>
      <c r="AJ243" s="276">
        <v>0</v>
      </c>
      <c r="AK243" s="276">
        <v>0</v>
      </c>
      <c r="AL243" s="276">
        <v>0</v>
      </c>
      <c r="AM243" s="276">
        <v>0</v>
      </c>
      <c r="AN243" s="276">
        <v>0</v>
      </c>
      <c r="AO243" s="276">
        <v>0</v>
      </c>
      <c r="AP243" s="276">
        <v>0</v>
      </c>
      <c r="AQ243" s="276">
        <v>0</v>
      </c>
      <c r="AR243" s="276">
        <v>0</v>
      </c>
      <c r="AS243" s="276">
        <v>0</v>
      </c>
      <c r="AT243" s="276">
        <f t="shared" si="116"/>
        <v>0</v>
      </c>
      <c r="AU243" s="276">
        <f t="shared" si="116"/>
        <v>-4200000</v>
      </c>
      <c r="AV243" s="276">
        <f t="shared" si="116"/>
        <v>0</v>
      </c>
      <c r="AW243" s="276">
        <f t="shared" si="117"/>
        <v>0</v>
      </c>
      <c r="AX243" s="288">
        <f t="shared" si="117"/>
        <v>7980000</v>
      </c>
      <c r="AY243" s="276">
        <f t="shared" si="117"/>
        <v>0</v>
      </c>
      <c r="AZ243" s="278">
        <f>F188</f>
        <v>0</v>
      </c>
      <c r="BB243" s="269" t="s">
        <v>325</v>
      </c>
      <c r="BC243" s="270"/>
      <c r="BD243" s="269">
        <f>AA46</f>
        <v>0</v>
      </c>
      <c r="BE243" s="254"/>
      <c r="BF243" s="193">
        <f t="shared" si="115"/>
        <v>-3.8029100529121988E-4</v>
      </c>
    </row>
    <row r="244" spans="1:59" x14ac:dyDescent="0.25">
      <c r="A244" s="113">
        <v>48</v>
      </c>
      <c r="B244" s="5">
        <f>SUMIF($AY$52:$BD$192,$A$244*1000+B194,$A$52:$F$192)</f>
        <v>0</v>
      </c>
      <c r="C244" s="5">
        <f>SUMIF($AY$52:$BD$192,$A$244*1000+C194,$A$52:$F$192)</f>
        <v>0</v>
      </c>
      <c r="D244" s="5">
        <f>SUMIF($AY$52:$BD$192,$A$244*1000+D194,$A$52:$F$192)</f>
        <v>-44427600</v>
      </c>
      <c r="E244" s="267">
        <f>SUMIF($AY$52:$BD$192,$A$244*1000+E194,$A$52:$F$192)</f>
        <v>0</v>
      </c>
      <c r="F244" s="276">
        <v>0</v>
      </c>
      <c r="G244" s="276">
        <v>0</v>
      </c>
      <c r="H244" s="276">
        <v>0</v>
      </c>
      <c r="I244" s="276">
        <v>0</v>
      </c>
      <c r="J244" s="276">
        <v>0</v>
      </c>
      <c r="K244" s="276">
        <v>0</v>
      </c>
      <c r="L244" s="276">
        <v>0</v>
      </c>
      <c r="M244" s="276">
        <v>0</v>
      </c>
      <c r="N244" s="276">
        <v>0</v>
      </c>
      <c r="O244" s="276">
        <v>0</v>
      </c>
      <c r="P244" s="276">
        <v>0</v>
      </c>
      <c r="Q244" s="276">
        <v>0</v>
      </c>
      <c r="R244" s="276">
        <v>0</v>
      </c>
      <c r="S244" s="276">
        <v>0</v>
      </c>
      <c r="T244" s="276">
        <v>0</v>
      </c>
      <c r="U244" s="276">
        <v>0</v>
      </c>
      <c r="V244" s="276">
        <v>0</v>
      </c>
      <c r="W244" s="276">
        <v>0</v>
      </c>
      <c r="X244" s="276">
        <v>0</v>
      </c>
      <c r="Y244" s="276">
        <v>0</v>
      </c>
      <c r="Z244" s="276">
        <v>0</v>
      </c>
      <c r="AA244" s="276">
        <v>0</v>
      </c>
      <c r="AB244" s="276">
        <v>0</v>
      </c>
      <c r="AC244" s="276">
        <v>0</v>
      </c>
      <c r="AD244" s="276">
        <v>0</v>
      </c>
      <c r="AE244" s="276">
        <v>0</v>
      </c>
      <c r="AF244" s="276">
        <v>0</v>
      </c>
      <c r="AG244" s="276">
        <v>0</v>
      </c>
      <c r="AH244" s="276">
        <v>0</v>
      </c>
      <c r="AI244" s="276">
        <v>0</v>
      </c>
      <c r="AJ244" s="276">
        <v>0</v>
      </c>
      <c r="AK244" s="276">
        <v>0</v>
      </c>
      <c r="AL244" s="276">
        <v>0</v>
      </c>
      <c r="AM244" s="276">
        <v>0</v>
      </c>
      <c r="AN244" s="276">
        <v>0</v>
      </c>
      <c r="AO244" s="276">
        <v>0</v>
      </c>
      <c r="AP244" s="276">
        <v>0</v>
      </c>
      <c r="AQ244" s="276">
        <v>0</v>
      </c>
      <c r="AR244" s="276">
        <v>0</v>
      </c>
      <c r="AS244" s="276">
        <v>0</v>
      </c>
      <c r="AT244" s="276">
        <f t="shared" si="116"/>
        <v>80169600</v>
      </c>
      <c r="AU244" s="276">
        <f t="shared" si="116"/>
        <v>0</v>
      </c>
      <c r="AV244" s="276">
        <f t="shared" si="116"/>
        <v>2672320000</v>
      </c>
      <c r="AW244" s="276">
        <f t="shared" si="117"/>
        <v>-35742000</v>
      </c>
      <c r="AX244" s="276">
        <f t="shared" si="117"/>
        <v>0</v>
      </c>
      <c r="AY244" s="288">
        <f t="shared" si="117"/>
        <v>8306480000</v>
      </c>
      <c r="AZ244" s="278">
        <f>F189</f>
        <v>1480920000</v>
      </c>
      <c r="BB244" s="269" t="s">
        <v>326</v>
      </c>
      <c r="BC244" s="270"/>
      <c r="BD244" s="269">
        <f>AB46</f>
        <v>0</v>
      </c>
      <c r="BE244" s="254"/>
      <c r="BF244" s="193">
        <f t="shared" si="115"/>
        <v>-1.4826287206915103E-3</v>
      </c>
    </row>
    <row r="245" spans="1:59" x14ac:dyDescent="0.25">
      <c r="A245" s="113">
        <v>51</v>
      </c>
      <c r="B245" s="5">
        <f>SUMIF($AY$52:$BD$192,$A$245*1000+B194,$A$52:$F$192)</f>
        <v>0</v>
      </c>
      <c r="C245" s="5">
        <f>SUMIF($AY$52:$BD$192,$A$245*1000+C194,$A$52:$F$192)</f>
        <v>0</v>
      </c>
      <c r="D245" s="5">
        <f>SUMIF($AY$52:$BD$192,$A$245*1000+D194,$A$52:$F$192)</f>
        <v>-44427600</v>
      </c>
      <c r="E245" s="267">
        <f>SUMIF($AY$52:$BD$192,$A$245*1000+E194,$A$52:$F$192)</f>
        <v>0</v>
      </c>
      <c r="F245" s="276">
        <v>0</v>
      </c>
      <c r="G245" s="276">
        <v>0</v>
      </c>
      <c r="H245" s="276">
        <v>0</v>
      </c>
      <c r="I245" s="276">
        <v>0</v>
      </c>
      <c r="J245" s="276">
        <v>0</v>
      </c>
      <c r="K245" s="276">
        <v>0</v>
      </c>
      <c r="L245" s="276">
        <v>0</v>
      </c>
      <c r="M245" s="276">
        <v>0</v>
      </c>
      <c r="N245" s="276">
        <v>0</v>
      </c>
      <c r="O245" s="276">
        <v>0</v>
      </c>
      <c r="P245" s="276">
        <v>0</v>
      </c>
      <c r="Q245" s="276">
        <f>SUMIF($AY$52:$BD$192,$A$245*1000+Q194,$A$52:$F$192)</f>
        <v>0</v>
      </c>
      <c r="R245" s="276">
        <v>0</v>
      </c>
      <c r="S245" s="276">
        <v>0</v>
      </c>
      <c r="T245" s="276">
        <v>0</v>
      </c>
      <c r="U245" s="276">
        <v>0</v>
      </c>
      <c r="V245" s="276">
        <v>0</v>
      </c>
      <c r="W245" s="276">
        <v>0</v>
      </c>
      <c r="X245" s="276">
        <v>0</v>
      </c>
      <c r="Y245" s="276">
        <v>0</v>
      </c>
      <c r="Z245" s="276">
        <v>0</v>
      </c>
      <c r="AA245" s="276">
        <v>0</v>
      </c>
      <c r="AB245" s="276">
        <v>0</v>
      </c>
      <c r="AC245" s="276">
        <v>0</v>
      </c>
      <c r="AD245" s="276">
        <v>0</v>
      </c>
      <c r="AE245" s="276">
        <v>0</v>
      </c>
      <c r="AF245" s="276">
        <v>0</v>
      </c>
      <c r="AG245" s="276">
        <v>0</v>
      </c>
      <c r="AH245" s="276">
        <v>0</v>
      </c>
      <c r="AI245" s="276">
        <v>0</v>
      </c>
      <c r="AJ245" s="276">
        <v>0</v>
      </c>
      <c r="AK245" s="276">
        <v>0</v>
      </c>
      <c r="AL245" s="276">
        <v>0</v>
      </c>
      <c r="AM245" s="276">
        <v>0</v>
      </c>
      <c r="AN245" s="276">
        <v>0</v>
      </c>
      <c r="AO245" s="276">
        <v>0</v>
      </c>
      <c r="AP245" s="276">
        <v>0</v>
      </c>
      <c r="AQ245" s="276">
        <v>0</v>
      </c>
      <c r="AR245" s="276">
        <v>0</v>
      </c>
      <c r="AS245" s="276">
        <v>0</v>
      </c>
      <c r="AT245" s="276">
        <v>0</v>
      </c>
      <c r="AU245" s="276">
        <v>0</v>
      </c>
      <c r="AV245" s="276">
        <v>0</v>
      </c>
      <c r="AW245" s="276">
        <f>A192</f>
        <v>44427600</v>
      </c>
      <c r="AX245" s="276">
        <f>B192</f>
        <v>0</v>
      </c>
      <c r="AY245" s="276">
        <f>C192</f>
        <v>1480920000</v>
      </c>
      <c r="AZ245" s="289">
        <f>F192</f>
        <v>2961840000</v>
      </c>
      <c r="BB245" s="269" t="s">
        <v>327</v>
      </c>
      <c r="BC245" s="269"/>
      <c r="BD245" s="269">
        <f>AB47</f>
        <v>0</v>
      </c>
      <c r="BE245" s="254"/>
      <c r="BF245" s="193">
        <f t="shared" si="115"/>
        <v>-1.5687028887352115E-3</v>
      </c>
    </row>
    <row r="246" spans="1:59" x14ac:dyDescent="0.25">
      <c r="BB246" s="59"/>
      <c r="BD246" s="59"/>
      <c r="BF246" s="59"/>
    </row>
    <row r="247" spans="1:59" ht="15.75" thickBot="1" x14ac:dyDescent="0.3">
      <c r="A247" s="59"/>
      <c r="B247" s="282"/>
      <c r="C247" s="282"/>
      <c r="D247" s="282"/>
      <c r="E247" s="282"/>
      <c r="F247" s="28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9" ht="15.75" thickBot="1" x14ac:dyDescent="0.3">
      <c r="A248" s="59"/>
      <c r="B248" s="326" t="s">
        <v>141</v>
      </c>
      <c r="C248" s="327"/>
      <c r="D248" s="327"/>
      <c r="E248" s="328"/>
      <c r="F248" s="282"/>
      <c r="G248" s="282"/>
      <c r="H248" s="282"/>
      <c r="I248" s="282"/>
      <c r="J248" s="282"/>
      <c r="K248" s="282"/>
      <c r="L248" s="282"/>
      <c r="M248" s="282"/>
      <c r="N248" s="282"/>
      <c r="O248" s="282"/>
      <c r="P248" s="282"/>
      <c r="Q248" s="282"/>
      <c r="R248" s="282"/>
      <c r="S248" s="282"/>
      <c r="T248" s="282"/>
      <c r="U248" s="282"/>
      <c r="V248" s="282"/>
      <c r="W248" s="282"/>
      <c r="X248" s="282"/>
      <c r="Y248" s="282"/>
      <c r="Z248" s="282"/>
      <c r="AA248" s="282"/>
      <c r="AB248" s="282"/>
      <c r="AC248" s="282"/>
      <c r="AD248" s="282"/>
      <c r="AE248" s="282"/>
      <c r="AF248" s="282"/>
      <c r="AG248" s="282"/>
      <c r="AH248" s="282"/>
      <c r="AI248" s="282"/>
      <c r="AJ248" s="282"/>
      <c r="AK248" s="282"/>
      <c r="AL248" s="282"/>
      <c r="AM248" s="282"/>
      <c r="AN248" s="282"/>
      <c r="AO248" s="282"/>
      <c r="AP248" s="282"/>
      <c r="AQ248" s="282"/>
      <c r="AR248" s="282"/>
      <c r="AS248" s="282"/>
      <c r="AT248" s="282"/>
      <c r="AU248" s="282"/>
      <c r="AV248" s="282"/>
      <c r="AW248" s="282"/>
      <c r="AX248" s="282"/>
      <c r="AY248" s="282"/>
      <c r="AZ248" s="282"/>
      <c r="BA248" s="59"/>
      <c r="BB248" s="59"/>
      <c r="BC248" s="59"/>
      <c r="BD248" s="59"/>
      <c r="BE248" s="59"/>
      <c r="BF248" s="59"/>
      <c r="BG248" s="59"/>
    </row>
    <row r="249" spans="1:59" ht="15.75" thickBot="1" x14ac:dyDescent="0.3">
      <c r="A249" s="59"/>
      <c r="B249" s="340" t="s">
        <v>328</v>
      </c>
      <c r="C249" s="340"/>
      <c r="D249" s="340"/>
      <c r="E249" s="218">
        <f>F199*$G$7+G199*$G$8+H199*$G$9+I199*$G$10+J199*$G$11+K199*$G$12+L199*$G$13+M199*$G$14+N199*$G$15+O199*$G$16+P199*$G$17+Q199*$G$18+R199*$G$19+S199*$G$20+T199*$G$21+U199*$G$22+V199*$G$23+W199*$G$24+X199*$G$25+Y199*$K$7+Z199*$K$8+AA199*$K$9+AB199*$K$10+AC199*$K$11+AD199*$K$12+AE199*$K$13+AF199*$K$14+AG199*$K$15+AH199*$K$16+AI199*$K$17+AJ199*$K$18+AK199*$K$19+AL199*$K$20+AM199*$K$21+AN199*$K$22+AO199*$K$23+AP199*$K$24+AQ199*$K$25+AR199*$O$7+AS199*$O$8+AT199*$O$9+AU199*$O$10+AV199*$O$11+AW199*$O$12+AX199*$O$13+AY199*$O$14+AZ199*$O$15-BD199</f>
        <v>-9.3132257461547852E-10</v>
      </c>
      <c r="F249" s="282"/>
      <c r="G249" s="282"/>
      <c r="H249" s="282"/>
      <c r="I249" s="282"/>
      <c r="J249" s="282"/>
      <c r="K249" s="282"/>
      <c r="L249" s="282"/>
      <c r="M249" s="282"/>
      <c r="N249" s="282"/>
      <c r="O249" s="282"/>
      <c r="P249" s="282"/>
      <c r="Q249" s="282"/>
      <c r="R249" s="282"/>
      <c r="S249" s="282"/>
      <c r="T249" s="282"/>
      <c r="U249" s="282"/>
      <c r="V249" s="282"/>
      <c r="W249" s="282"/>
      <c r="X249" s="282"/>
      <c r="Y249" s="282"/>
      <c r="Z249" s="282"/>
      <c r="AA249" s="282"/>
      <c r="AB249" s="282"/>
      <c r="AC249" s="282"/>
      <c r="AD249" s="282"/>
      <c r="AE249" s="282"/>
      <c r="AF249" s="282"/>
      <c r="AG249" s="282"/>
      <c r="AH249" s="282"/>
      <c r="AI249" s="282"/>
      <c r="AJ249" s="282"/>
      <c r="AK249" s="282"/>
      <c r="AL249" s="282"/>
      <c r="AM249" s="282"/>
      <c r="AN249" s="282"/>
      <c r="AO249" s="282"/>
      <c r="AP249" s="282"/>
      <c r="AQ249" s="282"/>
      <c r="AR249" s="282"/>
      <c r="AS249" s="282"/>
      <c r="AT249" s="282"/>
      <c r="AU249" s="282"/>
      <c r="AV249" s="282"/>
      <c r="AW249" s="282"/>
      <c r="AX249" s="282"/>
      <c r="AY249" s="282"/>
      <c r="AZ249" s="282"/>
      <c r="BA249" s="59"/>
      <c r="BB249" s="59"/>
      <c r="BC249" s="59"/>
      <c r="BD249" s="59"/>
      <c r="BE249" s="59"/>
      <c r="BF249" s="59"/>
      <c r="BG249" s="59"/>
    </row>
    <row r="250" spans="1:59" ht="15.75" thickBot="1" x14ac:dyDescent="0.3">
      <c r="A250" s="59"/>
      <c r="B250" s="340" t="s">
        <v>329</v>
      </c>
      <c r="C250" s="340"/>
      <c r="D250" s="340"/>
      <c r="E250" s="218">
        <f t="shared" ref="E250:E295" si="118">F200*$G$7+G200*$G$8+H200*$G$9+I200*$G$10+J200*$G$11+K200*$G$12+L200*$G$13+M200*$G$14+N200*$G$15+O200*$G$16+P200*$G$17+Q200*$G$18+R200*$G$19+S200*$G$20+T200*$G$21+U200*$G$22+V200*$G$23+W200*$G$24+X200*$G$25+Y200*$K$7+Z200*$K$8+AA200*$K$9+AB200*$K$10+AC200*$K$11+AD200*$K$12+AE200*$K$13+AF200*$K$14+AG200*$K$15+AH200*$K$16+AI200*$K$17+AJ200*$K$18+AK200*$K$19+AL200*$K$20+AM200*$K$21+AN200*$K$22+AO200*$K$23+AP200*$K$24+AQ200*$K$25+AR200*$O$7+AS200*$O$8+AT200*$O$9+AU200*$O$10+AV200*$O$11+AW200*$O$12+AX200*$O$13+AY200*$O$14+AZ200*$O$15-BD200</f>
        <v>-2.9103830456733704E-11</v>
      </c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82"/>
      <c r="Q250" s="282"/>
      <c r="R250" s="282"/>
      <c r="S250" s="282"/>
      <c r="T250" s="282"/>
      <c r="U250" s="282"/>
      <c r="V250" s="282"/>
      <c r="W250" s="282"/>
      <c r="X250" s="282"/>
      <c r="Y250" s="282"/>
      <c r="Z250" s="282"/>
      <c r="AA250" s="282"/>
      <c r="AB250" s="282"/>
      <c r="AC250" s="282"/>
      <c r="AD250" s="282"/>
      <c r="AE250" s="282"/>
      <c r="AF250" s="282"/>
      <c r="AG250" s="282"/>
      <c r="AH250" s="282"/>
      <c r="AI250" s="282"/>
      <c r="AJ250" s="282"/>
      <c r="AK250" s="282"/>
      <c r="AL250" s="282"/>
      <c r="AM250" s="282"/>
      <c r="AN250" s="282"/>
      <c r="AO250" s="282"/>
      <c r="AP250" s="282"/>
      <c r="AQ250" s="282"/>
      <c r="AR250" s="282"/>
      <c r="AS250" s="282"/>
      <c r="AT250" s="282"/>
      <c r="AU250" s="282"/>
      <c r="AV250" s="282"/>
      <c r="AW250" s="282"/>
      <c r="AX250" s="282"/>
      <c r="AY250" s="282"/>
      <c r="AZ250" s="282"/>
      <c r="BA250" s="59"/>
      <c r="BB250" s="59"/>
      <c r="BC250" s="59"/>
      <c r="BD250" s="59"/>
      <c r="BE250" s="59"/>
      <c r="BF250" s="59"/>
      <c r="BG250" s="59"/>
    </row>
    <row r="251" spans="1:59" ht="15.75" thickBot="1" x14ac:dyDescent="0.3">
      <c r="A251" s="59"/>
      <c r="B251" s="340" t="s">
        <v>180</v>
      </c>
      <c r="C251" s="340"/>
      <c r="D251" s="340"/>
      <c r="E251" s="218">
        <f t="shared" si="118"/>
        <v>4.5474735088646412E-13</v>
      </c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82"/>
      <c r="AB251" s="282"/>
      <c r="AC251" s="282"/>
      <c r="AD251" s="282"/>
      <c r="AE251" s="282"/>
      <c r="AF251" s="282"/>
      <c r="AG251" s="282"/>
      <c r="AH251" s="282"/>
      <c r="AI251" s="282"/>
      <c r="AJ251" s="282"/>
      <c r="AK251" s="282"/>
      <c r="AL251" s="282"/>
      <c r="AM251" s="282"/>
      <c r="AN251" s="282"/>
      <c r="AO251" s="282"/>
      <c r="AP251" s="282"/>
      <c r="AQ251" s="282"/>
      <c r="AR251" s="282"/>
      <c r="AS251" s="282"/>
      <c r="AT251" s="282"/>
      <c r="AU251" s="282"/>
      <c r="AV251" s="282"/>
      <c r="AW251" s="282"/>
      <c r="AX251" s="282"/>
      <c r="AY251" s="282"/>
      <c r="AZ251" s="282"/>
      <c r="BA251" s="59"/>
      <c r="BB251" s="59"/>
      <c r="BC251" s="59"/>
      <c r="BD251" s="59"/>
      <c r="BE251" s="59"/>
      <c r="BF251" s="59"/>
      <c r="BG251" s="59"/>
    </row>
    <row r="252" spans="1:59" ht="15.75" thickBot="1" x14ac:dyDescent="0.3">
      <c r="A252" s="59"/>
      <c r="B252" s="340" t="s">
        <v>181</v>
      </c>
      <c r="C252" s="340"/>
      <c r="D252" s="340"/>
      <c r="E252" s="218">
        <f t="shared" si="118"/>
        <v>1.862645149230957E-9</v>
      </c>
      <c r="F252" s="282"/>
      <c r="G252" s="282"/>
      <c r="H252" s="282"/>
      <c r="I252" s="282"/>
      <c r="J252" s="282"/>
      <c r="K252" s="282"/>
      <c r="L252" s="282"/>
      <c r="M252" s="282"/>
      <c r="N252" s="282"/>
      <c r="O252" s="282"/>
      <c r="P252" s="282"/>
      <c r="Q252" s="282"/>
      <c r="R252" s="282"/>
      <c r="S252" s="282"/>
      <c r="T252" s="282"/>
      <c r="U252" s="282"/>
      <c r="V252" s="282"/>
      <c r="W252" s="282"/>
      <c r="X252" s="282"/>
      <c r="Y252" s="282"/>
      <c r="Z252" s="282"/>
      <c r="AA252" s="282"/>
      <c r="AB252" s="282"/>
      <c r="AC252" s="282"/>
      <c r="AD252" s="282"/>
      <c r="AE252" s="282"/>
      <c r="AF252" s="282"/>
      <c r="AG252" s="282"/>
      <c r="AH252" s="282"/>
      <c r="AI252" s="282"/>
      <c r="AJ252" s="282"/>
      <c r="AK252" s="282"/>
      <c r="AL252" s="282"/>
      <c r="AM252" s="282"/>
      <c r="AN252" s="282"/>
      <c r="AO252" s="282"/>
      <c r="AP252" s="282"/>
      <c r="AQ252" s="282"/>
      <c r="AR252" s="282"/>
      <c r="AS252" s="282"/>
      <c r="AT252" s="282"/>
      <c r="AU252" s="282"/>
      <c r="AV252" s="282"/>
      <c r="AW252" s="282"/>
      <c r="AX252" s="282"/>
      <c r="AY252" s="282"/>
      <c r="AZ252" s="282"/>
      <c r="BA252" s="59"/>
      <c r="BB252" s="59"/>
      <c r="BC252" s="59"/>
      <c r="BD252" s="59"/>
      <c r="BE252" s="59"/>
      <c r="BF252" s="59"/>
      <c r="BG252" s="59"/>
    </row>
    <row r="253" spans="1:59" ht="15.75" thickBot="1" x14ac:dyDescent="0.3">
      <c r="A253" s="59"/>
      <c r="B253" s="340" t="s">
        <v>182</v>
      </c>
      <c r="C253" s="340"/>
      <c r="D253" s="340"/>
      <c r="E253" s="218">
        <f t="shared" si="118"/>
        <v>1.4551915228366852E-10</v>
      </c>
      <c r="F253" s="282"/>
      <c r="G253" s="282"/>
      <c r="H253" s="282"/>
      <c r="I253" s="282"/>
      <c r="J253" s="282"/>
      <c r="K253" s="282"/>
      <c r="L253" s="282"/>
      <c r="M253" s="282"/>
      <c r="N253" s="282"/>
      <c r="O253" s="282"/>
      <c r="P253" s="282"/>
      <c r="Q253" s="282"/>
      <c r="R253" s="282"/>
      <c r="S253" s="282"/>
      <c r="T253" s="282"/>
      <c r="U253" s="282"/>
      <c r="V253" s="282"/>
      <c r="W253" s="282"/>
      <c r="X253" s="282"/>
      <c r="Y253" s="282"/>
      <c r="Z253" s="282"/>
      <c r="AA253" s="282"/>
      <c r="AB253" s="282"/>
      <c r="AC253" s="282"/>
      <c r="AD253" s="282"/>
      <c r="AE253" s="282"/>
      <c r="AF253" s="282"/>
      <c r="AG253" s="282"/>
      <c r="AH253" s="282"/>
      <c r="AI253" s="282"/>
      <c r="AJ253" s="282"/>
      <c r="AK253" s="282"/>
      <c r="AL253" s="282"/>
      <c r="AM253" s="282"/>
      <c r="AN253" s="282"/>
      <c r="AO253" s="282"/>
      <c r="AP253" s="282"/>
      <c r="AQ253" s="282"/>
      <c r="AR253" s="282"/>
      <c r="AS253" s="282"/>
      <c r="AT253" s="282"/>
      <c r="AU253" s="282"/>
      <c r="AV253" s="282"/>
      <c r="AW253" s="282"/>
      <c r="AX253" s="282"/>
      <c r="AY253" s="282"/>
      <c r="AZ253" s="282"/>
      <c r="BA253" s="59"/>
      <c r="BB253" s="59"/>
      <c r="BC253" s="59"/>
      <c r="BD253" s="59"/>
      <c r="BE253" s="59"/>
      <c r="BF253" s="59"/>
      <c r="BG253" s="59"/>
    </row>
    <row r="254" spans="1:59" ht="15.75" thickBot="1" x14ac:dyDescent="0.3">
      <c r="A254" s="59"/>
      <c r="B254" s="340" t="s">
        <v>183</v>
      </c>
      <c r="C254" s="340"/>
      <c r="D254" s="340"/>
      <c r="E254" s="218">
        <f t="shared" si="118"/>
        <v>-9.0949470177292824E-13</v>
      </c>
      <c r="F254" s="282"/>
      <c r="G254" s="282"/>
      <c r="H254" s="282"/>
      <c r="I254" s="282"/>
      <c r="J254" s="282"/>
      <c r="K254" s="282"/>
      <c r="L254" s="282"/>
      <c r="M254" s="282"/>
      <c r="N254" s="282"/>
      <c r="O254" s="282"/>
      <c r="P254" s="282"/>
      <c r="Q254" s="282"/>
      <c r="R254" s="282"/>
      <c r="S254" s="282"/>
      <c r="T254" s="282"/>
      <c r="U254" s="282"/>
      <c r="V254" s="282"/>
      <c r="W254" s="282"/>
      <c r="X254" s="282"/>
      <c r="Y254" s="282"/>
      <c r="Z254" s="282"/>
      <c r="AA254" s="282"/>
      <c r="AB254" s="282"/>
      <c r="AC254" s="282"/>
      <c r="AD254" s="282"/>
      <c r="AE254" s="282"/>
      <c r="AF254" s="282"/>
      <c r="AG254" s="282"/>
      <c r="AH254" s="282"/>
      <c r="AI254" s="282"/>
      <c r="AJ254" s="282"/>
      <c r="AK254" s="282"/>
      <c r="AL254" s="282"/>
      <c r="AM254" s="282"/>
      <c r="AN254" s="282"/>
      <c r="AO254" s="282"/>
      <c r="AP254" s="282"/>
      <c r="AQ254" s="282"/>
      <c r="AR254" s="282"/>
      <c r="AS254" s="282"/>
      <c r="AT254" s="282"/>
      <c r="AU254" s="282"/>
      <c r="AV254" s="282"/>
      <c r="AW254" s="282"/>
      <c r="AX254" s="282"/>
      <c r="AY254" s="282"/>
      <c r="AZ254" s="282"/>
      <c r="BA254" s="59"/>
      <c r="BB254" s="59"/>
      <c r="BC254" s="59"/>
      <c r="BD254" s="59"/>
      <c r="BE254" s="59"/>
      <c r="BF254" s="59"/>
      <c r="BG254" s="59"/>
    </row>
    <row r="255" spans="1:59" ht="15.75" thickBot="1" x14ac:dyDescent="0.3">
      <c r="A255" s="59"/>
      <c r="B255" s="340" t="s">
        <v>184</v>
      </c>
      <c r="C255" s="340"/>
      <c r="D255" s="340"/>
      <c r="E255" s="218">
        <f t="shared" si="118"/>
        <v>5.5879354476928711E-9</v>
      </c>
      <c r="F255" s="282"/>
      <c r="G255" s="282"/>
      <c r="H255" s="282"/>
      <c r="I255" s="282"/>
      <c r="J255" s="282"/>
      <c r="K255" s="282"/>
      <c r="L255" s="282"/>
      <c r="M255" s="282"/>
      <c r="N255" s="282"/>
      <c r="O255" s="282"/>
      <c r="P255" s="282"/>
      <c r="Q255" s="282"/>
      <c r="R255" s="282"/>
      <c r="S255" s="282"/>
      <c r="T255" s="282"/>
      <c r="U255" s="282"/>
      <c r="V255" s="282"/>
      <c r="W255" s="282"/>
      <c r="X255" s="282"/>
      <c r="Y255" s="282"/>
      <c r="Z255" s="282"/>
      <c r="AA255" s="282"/>
      <c r="AB255" s="282"/>
      <c r="AC255" s="282"/>
      <c r="AD255" s="282"/>
      <c r="AE255" s="282"/>
      <c r="AF255" s="282"/>
      <c r="AG255" s="282"/>
      <c r="AH255" s="282"/>
      <c r="AI255" s="282"/>
      <c r="AJ255" s="282"/>
      <c r="AK255" s="282"/>
      <c r="AL255" s="282"/>
      <c r="AM255" s="282"/>
      <c r="AN255" s="282"/>
      <c r="AO255" s="282"/>
      <c r="AP255" s="282"/>
      <c r="AQ255" s="282"/>
      <c r="AR255" s="282"/>
      <c r="AS255" s="282"/>
      <c r="AT255" s="282"/>
      <c r="AU255" s="282"/>
      <c r="AV255" s="282"/>
      <c r="AW255" s="282"/>
      <c r="AX255" s="282"/>
      <c r="AY255" s="282"/>
      <c r="AZ255" s="282"/>
      <c r="BA255" s="59"/>
      <c r="BB255" s="59"/>
      <c r="BC255" s="59"/>
      <c r="BD255" s="59"/>
      <c r="BE255" s="59"/>
      <c r="BF255" s="59"/>
      <c r="BG255" s="59"/>
    </row>
    <row r="256" spans="1:59" ht="15.75" thickBot="1" x14ac:dyDescent="0.3">
      <c r="A256" s="59"/>
      <c r="B256" s="340" t="s">
        <v>185</v>
      </c>
      <c r="C256" s="340"/>
      <c r="D256" s="340"/>
      <c r="E256" s="218">
        <f t="shared" si="118"/>
        <v>2.6193447411060333E-10</v>
      </c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82"/>
      <c r="AB256" s="282"/>
      <c r="AC256" s="282"/>
      <c r="AD256" s="282"/>
      <c r="AE256" s="282"/>
      <c r="AF256" s="282"/>
      <c r="AG256" s="282"/>
      <c r="AH256" s="282"/>
      <c r="AI256" s="282"/>
      <c r="AJ256" s="282"/>
      <c r="AK256" s="282"/>
      <c r="AL256" s="282"/>
      <c r="AM256" s="282"/>
      <c r="AN256" s="282"/>
      <c r="AO256" s="282"/>
      <c r="AP256" s="282"/>
      <c r="AQ256" s="282"/>
      <c r="AR256" s="282"/>
      <c r="AS256" s="282"/>
      <c r="AT256" s="282"/>
      <c r="AU256" s="282"/>
      <c r="AV256" s="282"/>
      <c r="AW256" s="282"/>
      <c r="AX256" s="282"/>
      <c r="AY256" s="282"/>
      <c r="AZ256" s="282"/>
      <c r="BA256" s="59"/>
      <c r="BB256" s="59"/>
      <c r="BC256" s="59"/>
      <c r="BD256" s="59"/>
      <c r="BE256" s="59"/>
      <c r="BF256" s="59"/>
      <c r="BG256" s="59"/>
    </row>
    <row r="257" spans="1:59" ht="15.75" thickBot="1" x14ac:dyDescent="0.3">
      <c r="A257" s="59"/>
      <c r="B257" s="340" t="s">
        <v>186</v>
      </c>
      <c r="C257" s="340"/>
      <c r="D257" s="340"/>
      <c r="E257" s="218">
        <f t="shared" si="118"/>
        <v>0</v>
      </c>
      <c r="F257" s="282"/>
      <c r="G257" s="282"/>
      <c r="H257" s="282"/>
      <c r="I257" s="282"/>
      <c r="J257" s="282"/>
      <c r="K257" s="282"/>
      <c r="L257" s="282"/>
      <c r="M257" s="282"/>
      <c r="N257" s="282"/>
      <c r="O257" s="282"/>
      <c r="P257" s="282"/>
      <c r="Q257" s="282"/>
      <c r="R257" s="282"/>
      <c r="S257" s="282"/>
      <c r="T257" s="282"/>
      <c r="U257" s="282"/>
      <c r="V257" s="282"/>
      <c r="W257" s="282"/>
      <c r="X257" s="282"/>
      <c r="Y257" s="282"/>
      <c r="Z257" s="282"/>
      <c r="AA257" s="282"/>
      <c r="AB257" s="282"/>
      <c r="AC257" s="282"/>
      <c r="AD257" s="282"/>
      <c r="AE257" s="282"/>
      <c r="AF257" s="282"/>
      <c r="AG257" s="282"/>
      <c r="AH257" s="282"/>
      <c r="AI257" s="282"/>
      <c r="AJ257" s="282"/>
      <c r="AK257" s="282"/>
      <c r="AL257" s="282"/>
      <c r="AM257" s="282"/>
      <c r="AN257" s="282"/>
      <c r="AO257" s="282"/>
      <c r="AP257" s="282"/>
      <c r="AQ257" s="282"/>
      <c r="AR257" s="282"/>
      <c r="AS257" s="282"/>
      <c r="AT257" s="282"/>
      <c r="AU257" s="282"/>
      <c r="AV257" s="282"/>
      <c r="AW257" s="282"/>
      <c r="AX257" s="282"/>
      <c r="AY257" s="282"/>
      <c r="AZ257" s="282"/>
      <c r="BA257" s="59"/>
      <c r="BB257" s="59"/>
      <c r="BC257" s="59"/>
      <c r="BD257" s="59"/>
      <c r="BE257" s="59"/>
      <c r="BF257" s="59"/>
      <c r="BG257" s="59"/>
    </row>
    <row r="258" spans="1:59" ht="15.75" thickBot="1" x14ac:dyDescent="0.3">
      <c r="A258" s="59"/>
      <c r="B258" s="340" t="s">
        <v>187</v>
      </c>
      <c r="C258" s="340"/>
      <c r="D258" s="340"/>
      <c r="E258" s="218">
        <f t="shared" si="118"/>
        <v>-1.4901161193847656E-8</v>
      </c>
      <c r="F258" s="282"/>
      <c r="G258" s="282"/>
      <c r="H258" s="282"/>
      <c r="I258" s="282"/>
      <c r="J258" s="282"/>
      <c r="K258" s="282"/>
      <c r="L258" s="282"/>
      <c r="M258" s="282"/>
      <c r="N258" s="282"/>
      <c r="O258" s="282"/>
      <c r="P258" s="282"/>
      <c r="Q258" s="282"/>
      <c r="R258" s="282"/>
      <c r="S258" s="282"/>
      <c r="T258" s="282"/>
      <c r="U258" s="282"/>
      <c r="V258" s="282"/>
      <c r="W258" s="282"/>
      <c r="X258" s="282"/>
      <c r="Y258" s="282"/>
      <c r="Z258" s="282"/>
      <c r="AA258" s="282"/>
      <c r="AB258" s="282"/>
      <c r="AC258" s="282"/>
      <c r="AD258" s="282"/>
      <c r="AE258" s="282"/>
      <c r="AF258" s="282"/>
      <c r="AG258" s="282"/>
      <c r="AH258" s="282"/>
      <c r="AI258" s="282"/>
      <c r="AJ258" s="282"/>
      <c r="AK258" s="282"/>
      <c r="AL258" s="282"/>
      <c r="AM258" s="282"/>
      <c r="AN258" s="282"/>
      <c r="AO258" s="282"/>
      <c r="AP258" s="282"/>
      <c r="AQ258" s="282"/>
      <c r="AR258" s="282"/>
      <c r="AS258" s="282"/>
      <c r="AT258" s="282"/>
      <c r="AU258" s="282"/>
      <c r="AV258" s="282"/>
      <c r="AW258" s="282"/>
      <c r="AX258" s="282"/>
      <c r="AY258" s="282"/>
      <c r="AZ258" s="282"/>
      <c r="BA258" s="59"/>
      <c r="BB258" s="59"/>
      <c r="BC258" s="59"/>
      <c r="BD258" s="59"/>
      <c r="BE258" s="59"/>
      <c r="BF258" s="59"/>
      <c r="BG258" s="59"/>
    </row>
    <row r="259" spans="1:59" ht="15.75" thickBot="1" x14ac:dyDescent="0.3">
      <c r="A259" s="59"/>
      <c r="B259" s="340" t="s">
        <v>330</v>
      </c>
      <c r="C259" s="340"/>
      <c r="D259" s="340"/>
      <c r="E259" s="218">
        <f t="shared" si="118"/>
        <v>-5.7298166211694479E-11</v>
      </c>
      <c r="F259" s="282"/>
      <c r="G259" s="282"/>
      <c r="H259" s="282"/>
      <c r="I259" s="282"/>
      <c r="J259" s="282"/>
      <c r="K259" s="282"/>
      <c r="L259" s="282"/>
      <c r="M259" s="282"/>
      <c r="N259" s="282"/>
      <c r="O259" s="282"/>
      <c r="P259" s="282"/>
      <c r="Q259" s="282"/>
      <c r="R259" s="282"/>
      <c r="S259" s="282"/>
      <c r="T259" s="282"/>
      <c r="U259" s="282"/>
      <c r="V259" s="282"/>
      <c r="W259" s="282"/>
      <c r="X259" s="282"/>
      <c r="Y259" s="282"/>
      <c r="Z259" s="282"/>
      <c r="AA259" s="282"/>
      <c r="AB259" s="282"/>
      <c r="AC259" s="282"/>
      <c r="AD259" s="282"/>
      <c r="AE259" s="282"/>
      <c r="AF259" s="282"/>
      <c r="AG259" s="282"/>
      <c r="AH259" s="282"/>
      <c r="AI259" s="282"/>
      <c r="AJ259" s="282"/>
      <c r="AK259" s="282"/>
      <c r="AL259" s="282"/>
      <c r="AM259" s="282"/>
      <c r="AN259" s="282"/>
      <c r="AO259" s="282"/>
      <c r="AP259" s="282"/>
      <c r="AQ259" s="282"/>
      <c r="AR259" s="282"/>
      <c r="AS259" s="282"/>
      <c r="AT259" s="282"/>
      <c r="AU259" s="282"/>
      <c r="AV259" s="282"/>
      <c r="AW259" s="282"/>
      <c r="AX259" s="282"/>
      <c r="AY259" s="282"/>
      <c r="AZ259" s="282"/>
      <c r="BA259" s="59"/>
      <c r="BB259" s="59"/>
      <c r="BC259" s="59"/>
      <c r="BD259" s="59"/>
      <c r="BE259" s="59"/>
      <c r="BF259" s="59"/>
      <c r="BG259" s="59"/>
    </row>
    <row r="260" spans="1:59" ht="15.75" thickBot="1" x14ac:dyDescent="0.3">
      <c r="A260" s="59"/>
      <c r="B260" s="340" t="s">
        <v>331</v>
      </c>
      <c r="C260" s="340"/>
      <c r="D260" s="340"/>
      <c r="E260" s="218">
        <f t="shared" si="118"/>
        <v>-3.2741809263825417E-11</v>
      </c>
      <c r="F260" s="282"/>
      <c r="G260" s="282"/>
      <c r="H260" s="282"/>
      <c r="I260" s="282"/>
      <c r="J260" s="282"/>
      <c r="K260" s="282"/>
      <c r="L260" s="282"/>
      <c r="M260" s="282"/>
      <c r="N260" s="282"/>
      <c r="O260" s="282"/>
      <c r="P260" s="282"/>
      <c r="Q260" s="282"/>
      <c r="R260" s="282"/>
      <c r="S260" s="282"/>
      <c r="T260" s="282"/>
      <c r="U260" s="282"/>
      <c r="V260" s="282"/>
      <c r="W260" s="282"/>
      <c r="X260" s="282"/>
      <c r="Y260" s="282"/>
      <c r="Z260" s="282"/>
      <c r="AA260" s="282"/>
      <c r="AB260" s="282"/>
      <c r="AC260" s="282"/>
      <c r="AD260" s="282"/>
      <c r="AE260" s="282"/>
      <c r="AF260" s="282"/>
      <c r="AG260" s="282"/>
      <c r="AH260" s="282"/>
      <c r="AI260" s="282"/>
      <c r="AJ260" s="282"/>
      <c r="AK260" s="282"/>
      <c r="AL260" s="282"/>
      <c r="AM260" s="282"/>
      <c r="AN260" s="282"/>
      <c r="AO260" s="282"/>
      <c r="AP260" s="282"/>
      <c r="AQ260" s="282"/>
      <c r="AR260" s="282"/>
      <c r="AS260" s="282"/>
      <c r="AT260" s="282"/>
      <c r="AU260" s="282"/>
      <c r="AV260" s="282"/>
      <c r="AW260" s="282"/>
      <c r="AX260" s="282"/>
      <c r="AY260" s="282"/>
      <c r="AZ260" s="282"/>
      <c r="BA260" s="59"/>
      <c r="BB260" s="59"/>
      <c r="BC260" s="59"/>
      <c r="BD260" s="59"/>
      <c r="BE260" s="59"/>
      <c r="BF260" s="59"/>
      <c r="BG260" s="59"/>
    </row>
    <row r="261" spans="1:59" ht="15.75" thickBot="1" x14ac:dyDescent="0.3">
      <c r="A261" s="59"/>
      <c r="B261" s="340" t="s">
        <v>332</v>
      </c>
      <c r="C261" s="340"/>
      <c r="D261" s="340"/>
      <c r="E261" s="218">
        <f t="shared" si="118"/>
        <v>3.3760443329811096E-9</v>
      </c>
      <c r="F261" s="282"/>
      <c r="G261" s="282"/>
      <c r="H261" s="282"/>
      <c r="I261" s="282"/>
      <c r="J261" s="282"/>
      <c r="K261" s="282"/>
      <c r="L261" s="282"/>
      <c r="M261" s="282"/>
      <c r="N261" s="282"/>
      <c r="O261" s="282"/>
      <c r="P261" s="282"/>
      <c r="Q261" s="282"/>
      <c r="R261" s="282"/>
      <c r="S261" s="282"/>
      <c r="T261" s="282"/>
      <c r="U261" s="282"/>
      <c r="V261" s="282"/>
      <c r="W261" s="282"/>
      <c r="X261" s="282"/>
      <c r="Y261" s="282"/>
      <c r="Z261" s="282"/>
      <c r="AA261" s="282"/>
      <c r="AB261" s="282"/>
      <c r="AC261" s="282"/>
      <c r="AD261" s="282"/>
      <c r="AE261" s="282"/>
      <c r="AF261" s="282"/>
      <c r="AG261" s="282"/>
      <c r="AH261" s="282"/>
      <c r="AI261" s="282"/>
      <c r="AJ261" s="282"/>
      <c r="AK261" s="282"/>
      <c r="AL261" s="282"/>
      <c r="AM261" s="282"/>
      <c r="AN261" s="282"/>
      <c r="AO261" s="282"/>
      <c r="AP261" s="282"/>
      <c r="AQ261" s="282"/>
      <c r="AR261" s="282"/>
      <c r="AS261" s="282"/>
      <c r="AT261" s="282"/>
      <c r="AU261" s="282"/>
      <c r="AV261" s="282"/>
      <c r="AW261" s="282"/>
      <c r="AX261" s="282"/>
      <c r="AY261" s="282"/>
      <c r="AZ261" s="282"/>
      <c r="BA261" s="59"/>
      <c r="BB261" s="59"/>
      <c r="BC261" s="59"/>
      <c r="BD261" s="59"/>
      <c r="BE261" s="59"/>
      <c r="BF261" s="59"/>
      <c r="BG261" s="59"/>
    </row>
    <row r="262" spans="1:59" ht="15.75" thickBot="1" x14ac:dyDescent="0.3">
      <c r="A262" s="59"/>
      <c r="B262" s="340" t="s">
        <v>333</v>
      </c>
      <c r="C262" s="340"/>
      <c r="D262" s="340"/>
      <c r="E262" s="218">
        <f t="shared" si="118"/>
        <v>1.5052137314341962E-10</v>
      </c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  <c r="AC262" s="282"/>
      <c r="AD262" s="282"/>
      <c r="AE262" s="282"/>
      <c r="AF262" s="282"/>
      <c r="AG262" s="282"/>
      <c r="AH262" s="282"/>
      <c r="AI262" s="282"/>
      <c r="AJ262" s="282"/>
      <c r="AK262" s="282"/>
      <c r="AL262" s="282"/>
      <c r="AM262" s="282"/>
      <c r="AN262" s="282"/>
      <c r="AO262" s="282"/>
      <c r="AP262" s="282"/>
      <c r="AQ262" s="282"/>
      <c r="AR262" s="282"/>
      <c r="AS262" s="282"/>
      <c r="AT262" s="282"/>
      <c r="AU262" s="282"/>
      <c r="AV262" s="282"/>
      <c r="AW262" s="282"/>
      <c r="AX262" s="282"/>
      <c r="AY262" s="282"/>
      <c r="AZ262" s="282"/>
      <c r="BA262" s="59"/>
      <c r="BB262" s="59"/>
      <c r="BC262" s="59"/>
      <c r="BD262" s="59"/>
      <c r="BE262" s="59"/>
      <c r="BF262" s="59"/>
      <c r="BG262" s="59"/>
    </row>
    <row r="263" spans="1:59" ht="15.75" thickBot="1" x14ac:dyDescent="0.3">
      <c r="A263" s="59"/>
      <c r="B263" s="340" t="s">
        <v>334</v>
      </c>
      <c r="C263" s="340"/>
      <c r="D263" s="340"/>
      <c r="E263" s="218">
        <f t="shared" si="118"/>
        <v>-6.3664629124104977E-11</v>
      </c>
      <c r="F263" s="282"/>
      <c r="G263" s="282"/>
      <c r="H263" s="282"/>
      <c r="I263" s="282"/>
      <c r="J263" s="282"/>
      <c r="K263" s="282"/>
      <c r="L263" s="282"/>
      <c r="M263" s="282"/>
      <c r="N263" s="282"/>
      <c r="O263" s="282"/>
      <c r="P263" s="282"/>
      <c r="Q263" s="282"/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  <c r="AC263" s="282"/>
      <c r="AD263" s="282"/>
      <c r="AE263" s="282"/>
      <c r="AF263" s="282"/>
      <c r="AG263" s="282"/>
      <c r="AH263" s="282"/>
      <c r="AI263" s="282"/>
      <c r="AJ263" s="282"/>
      <c r="AK263" s="282"/>
      <c r="AL263" s="282"/>
      <c r="AM263" s="282"/>
      <c r="AN263" s="282"/>
      <c r="AO263" s="282"/>
      <c r="AP263" s="282"/>
      <c r="AQ263" s="282"/>
      <c r="AR263" s="282"/>
      <c r="AS263" s="282"/>
      <c r="AT263" s="282"/>
      <c r="AU263" s="282"/>
      <c r="AV263" s="282"/>
      <c r="AW263" s="282"/>
      <c r="AX263" s="282"/>
      <c r="AY263" s="282"/>
      <c r="AZ263" s="282"/>
      <c r="BA263" s="59"/>
      <c r="BB263" s="59"/>
      <c r="BC263" s="59"/>
      <c r="BD263" s="59"/>
      <c r="BE263" s="59"/>
      <c r="BF263" s="59"/>
      <c r="BG263" s="59"/>
    </row>
    <row r="264" spans="1:59" ht="15.75" thickBot="1" x14ac:dyDescent="0.3">
      <c r="A264" s="59"/>
      <c r="B264" s="340" t="s">
        <v>335</v>
      </c>
      <c r="C264" s="340"/>
      <c r="D264" s="340"/>
      <c r="E264" s="218">
        <f t="shared" si="118"/>
        <v>2.9103830456733704E-11</v>
      </c>
      <c r="F264" s="282"/>
      <c r="G264" s="282"/>
      <c r="H264" s="282"/>
      <c r="I264" s="282"/>
      <c r="J264" s="282"/>
      <c r="K264" s="282"/>
      <c r="L264" s="282"/>
      <c r="M264" s="282"/>
      <c r="N264" s="282"/>
      <c r="O264" s="282"/>
      <c r="P264" s="282"/>
      <c r="Q264" s="282"/>
      <c r="R264" s="282"/>
      <c r="S264" s="282"/>
      <c r="T264" s="282"/>
      <c r="U264" s="282"/>
      <c r="V264" s="282"/>
      <c r="W264" s="282"/>
      <c r="X264" s="282"/>
      <c r="Y264" s="282"/>
      <c r="Z264" s="282"/>
      <c r="AA264" s="282"/>
      <c r="AB264" s="282"/>
      <c r="AC264" s="282"/>
      <c r="AD264" s="282"/>
      <c r="AE264" s="282"/>
      <c r="AF264" s="282"/>
      <c r="AG264" s="282"/>
      <c r="AH264" s="282"/>
      <c r="AI264" s="282"/>
      <c r="AJ264" s="282"/>
      <c r="AK264" s="282"/>
      <c r="AL264" s="282"/>
      <c r="AM264" s="282"/>
      <c r="AN264" s="282"/>
      <c r="AO264" s="282"/>
      <c r="AP264" s="282"/>
      <c r="AQ264" s="282"/>
      <c r="AR264" s="282"/>
      <c r="AS264" s="282"/>
      <c r="AT264" s="282"/>
      <c r="AU264" s="282"/>
      <c r="AV264" s="282"/>
      <c r="AW264" s="282"/>
      <c r="AX264" s="282"/>
      <c r="AY264" s="282"/>
      <c r="AZ264" s="282"/>
      <c r="BA264" s="59"/>
      <c r="BB264" s="59"/>
      <c r="BC264" s="59"/>
      <c r="BD264" s="59"/>
      <c r="BE264" s="59"/>
      <c r="BF264" s="59"/>
      <c r="BG264" s="59"/>
    </row>
    <row r="265" spans="1:59" ht="15.75" thickBot="1" x14ac:dyDescent="0.3">
      <c r="A265" s="59"/>
      <c r="B265" s="340" t="s">
        <v>336</v>
      </c>
      <c r="C265" s="340"/>
      <c r="D265" s="340"/>
      <c r="E265" s="218">
        <f t="shared" si="118"/>
        <v>1.4233592082746327E-10</v>
      </c>
      <c r="F265" s="282"/>
      <c r="G265" s="282"/>
      <c r="H265" s="282"/>
      <c r="I265" s="282"/>
      <c r="J265" s="282"/>
      <c r="K265" s="282"/>
      <c r="L265" s="282"/>
      <c r="M265" s="282"/>
      <c r="N265" s="282"/>
      <c r="O265" s="282"/>
      <c r="P265" s="282"/>
      <c r="Q265" s="282"/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  <c r="AC265" s="282"/>
      <c r="AD265" s="282"/>
      <c r="AE265" s="282"/>
      <c r="AF265" s="282"/>
      <c r="AG265" s="282"/>
      <c r="AH265" s="282"/>
      <c r="AI265" s="282"/>
      <c r="AJ265" s="282"/>
      <c r="AK265" s="282"/>
      <c r="AL265" s="282"/>
      <c r="AM265" s="282"/>
      <c r="AN265" s="282"/>
      <c r="AO265" s="282"/>
      <c r="AP265" s="282"/>
      <c r="AQ265" s="282"/>
      <c r="AR265" s="282"/>
      <c r="AS265" s="282"/>
      <c r="AT265" s="282"/>
      <c r="AU265" s="282"/>
      <c r="AV265" s="282"/>
      <c r="AW265" s="282"/>
      <c r="AX265" s="282"/>
      <c r="AY265" s="282"/>
      <c r="AZ265" s="282"/>
      <c r="BA265" s="59"/>
      <c r="BB265" s="59"/>
      <c r="BC265" s="59"/>
      <c r="BD265" s="59"/>
      <c r="BE265" s="59"/>
      <c r="BF265" s="59"/>
      <c r="BG265" s="59"/>
    </row>
    <row r="266" spans="1:59" ht="15.75" thickBot="1" x14ac:dyDescent="0.3">
      <c r="A266" s="59"/>
      <c r="B266" s="340" t="s">
        <v>337</v>
      </c>
      <c r="C266" s="340"/>
      <c r="D266" s="340"/>
      <c r="E266" s="218">
        <f t="shared" si="118"/>
        <v>6.730260793119669E-11</v>
      </c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82"/>
      <c r="Q266" s="282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  <c r="AD266" s="282"/>
      <c r="AE266" s="282"/>
      <c r="AF266" s="282"/>
      <c r="AG266" s="282"/>
      <c r="AH266" s="282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  <c r="AS266" s="282"/>
      <c r="AT266" s="282"/>
      <c r="AU266" s="282"/>
      <c r="AV266" s="282"/>
      <c r="AW266" s="282"/>
      <c r="AX266" s="282"/>
      <c r="AY266" s="282"/>
      <c r="AZ266" s="282"/>
      <c r="BA266" s="59"/>
      <c r="BB266" s="59"/>
      <c r="BC266" s="59"/>
      <c r="BD266" s="59"/>
      <c r="BE266" s="59"/>
      <c r="BF266" s="59"/>
      <c r="BG266" s="59"/>
    </row>
    <row r="267" spans="1:59" ht="15.75" thickBot="1" x14ac:dyDescent="0.3">
      <c r="A267" s="59"/>
      <c r="B267" s="340" t="s">
        <v>338</v>
      </c>
      <c r="C267" s="340"/>
      <c r="D267" s="340"/>
      <c r="E267" s="218">
        <f t="shared" si="118"/>
        <v>-1.0477378964424133E-9</v>
      </c>
      <c r="F267" s="282"/>
      <c r="G267" s="282"/>
      <c r="H267" s="282"/>
      <c r="I267" s="282"/>
      <c r="J267" s="282"/>
      <c r="K267" s="282"/>
      <c r="L267" s="282"/>
      <c r="M267" s="282"/>
      <c r="N267" s="282"/>
      <c r="O267" s="282"/>
      <c r="P267" s="282"/>
      <c r="Q267" s="282"/>
      <c r="R267" s="282"/>
      <c r="S267" s="282"/>
      <c r="T267" s="282"/>
      <c r="U267" s="282"/>
      <c r="V267" s="282"/>
      <c r="W267" s="282"/>
      <c r="X267" s="282"/>
      <c r="Y267" s="282"/>
      <c r="Z267" s="282"/>
      <c r="AA267" s="282"/>
      <c r="AB267" s="282"/>
      <c r="AC267" s="282"/>
      <c r="AD267" s="282"/>
      <c r="AE267" s="282"/>
      <c r="AF267" s="282"/>
      <c r="AG267" s="282"/>
      <c r="AH267" s="282"/>
      <c r="AI267" s="282"/>
      <c r="AJ267" s="282"/>
      <c r="AK267" s="282"/>
      <c r="AL267" s="282"/>
      <c r="AM267" s="282"/>
      <c r="AN267" s="282"/>
      <c r="AO267" s="282"/>
      <c r="AP267" s="282"/>
      <c r="AQ267" s="282"/>
      <c r="AR267" s="282"/>
      <c r="AS267" s="282"/>
      <c r="AT267" s="282"/>
      <c r="AU267" s="282"/>
      <c r="AV267" s="282"/>
      <c r="AW267" s="282"/>
      <c r="AX267" s="282"/>
      <c r="AY267" s="282"/>
      <c r="AZ267" s="282"/>
      <c r="BA267" s="59"/>
      <c r="BB267" s="59"/>
      <c r="BC267" s="59"/>
      <c r="BD267" s="59"/>
      <c r="BE267" s="59"/>
      <c r="BF267" s="59"/>
      <c r="BG267" s="59"/>
    </row>
    <row r="268" spans="1:59" ht="15.75" thickBot="1" x14ac:dyDescent="0.3">
      <c r="A268" s="59"/>
      <c r="B268" s="340" t="s">
        <v>339</v>
      </c>
      <c r="C268" s="340"/>
      <c r="D268" s="340"/>
      <c r="E268" s="218">
        <f t="shared" si="118"/>
        <v>4.0472514228895307E-11</v>
      </c>
      <c r="F268" s="282"/>
      <c r="G268" s="282"/>
      <c r="H268" s="282"/>
      <c r="I268" s="282"/>
      <c r="J268" s="282"/>
      <c r="K268" s="282"/>
      <c r="L268" s="282"/>
      <c r="M268" s="282"/>
      <c r="N268" s="282"/>
      <c r="O268" s="282"/>
      <c r="P268" s="282"/>
      <c r="Q268" s="282"/>
      <c r="R268" s="282"/>
      <c r="S268" s="282"/>
      <c r="T268" s="282"/>
      <c r="U268" s="282"/>
      <c r="V268" s="282"/>
      <c r="W268" s="282"/>
      <c r="X268" s="282"/>
      <c r="Y268" s="282"/>
      <c r="Z268" s="282"/>
      <c r="AA268" s="282"/>
      <c r="AB268" s="282"/>
      <c r="AC268" s="282"/>
      <c r="AD268" s="282"/>
      <c r="AE268" s="282"/>
      <c r="AF268" s="282"/>
      <c r="AG268" s="282"/>
      <c r="AH268" s="282"/>
      <c r="AI268" s="282"/>
      <c r="AJ268" s="282"/>
      <c r="AK268" s="282"/>
      <c r="AL268" s="282"/>
      <c r="AM268" s="282"/>
      <c r="AN268" s="282"/>
      <c r="AO268" s="282"/>
      <c r="AP268" s="282"/>
      <c r="AQ268" s="282"/>
      <c r="AR268" s="282"/>
      <c r="AS268" s="282"/>
      <c r="AT268" s="282"/>
      <c r="AU268" s="282"/>
      <c r="AV268" s="282"/>
      <c r="AW268" s="282"/>
      <c r="AX268" s="282"/>
      <c r="AY268" s="282"/>
      <c r="AZ268" s="282"/>
      <c r="BA268" s="59"/>
      <c r="BB268" s="59"/>
      <c r="BC268" s="59"/>
      <c r="BD268" s="59"/>
      <c r="BE268" s="59"/>
      <c r="BF268" s="59"/>
      <c r="BG268" s="59"/>
    </row>
    <row r="269" spans="1:59" ht="15.75" thickBot="1" x14ac:dyDescent="0.3">
      <c r="A269" s="59"/>
      <c r="B269" s="340" t="s">
        <v>340</v>
      </c>
      <c r="C269" s="340"/>
      <c r="D269" s="340"/>
      <c r="E269" s="218">
        <f t="shared" si="118"/>
        <v>-5.6388671509921551E-11</v>
      </c>
      <c r="F269" s="282"/>
      <c r="G269" s="282"/>
      <c r="H269" s="282"/>
      <c r="I269" s="282"/>
      <c r="J269" s="282"/>
      <c r="K269" s="282"/>
      <c r="L269" s="282"/>
      <c r="M269" s="282"/>
      <c r="N269" s="282"/>
      <c r="O269" s="282"/>
      <c r="P269" s="282"/>
      <c r="Q269" s="282"/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  <c r="AC269" s="282"/>
      <c r="AD269" s="282"/>
      <c r="AE269" s="282"/>
      <c r="AF269" s="282"/>
      <c r="AG269" s="282"/>
      <c r="AH269" s="282"/>
      <c r="AI269" s="282"/>
      <c r="AJ269" s="282"/>
      <c r="AK269" s="282"/>
      <c r="AL269" s="282"/>
      <c r="AM269" s="282"/>
      <c r="AN269" s="282"/>
      <c r="AO269" s="282"/>
      <c r="AP269" s="282"/>
      <c r="AQ269" s="282"/>
      <c r="AR269" s="282"/>
      <c r="AS269" s="282"/>
      <c r="AT269" s="282"/>
      <c r="AU269" s="282"/>
      <c r="AV269" s="282"/>
      <c r="AW269" s="282"/>
      <c r="AX269" s="282"/>
      <c r="AY269" s="282"/>
      <c r="AZ269" s="282"/>
      <c r="BA269" s="59"/>
      <c r="BB269" s="59"/>
      <c r="BC269" s="59"/>
      <c r="BD269" s="59"/>
      <c r="BE269" s="59"/>
      <c r="BF269" s="59"/>
      <c r="BG269" s="59"/>
    </row>
    <row r="270" spans="1:59" ht="15.75" thickBot="1" x14ac:dyDescent="0.3">
      <c r="A270" s="59"/>
      <c r="B270" s="340" t="s">
        <v>341</v>
      </c>
      <c r="C270" s="340"/>
      <c r="D270" s="340"/>
      <c r="E270" s="218">
        <f t="shared" si="118"/>
        <v>-7.5669959187507629E-10</v>
      </c>
      <c r="F270" s="282"/>
      <c r="G270" s="282"/>
      <c r="H270" s="282"/>
      <c r="I270" s="282"/>
      <c r="J270" s="282"/>
      <c r="K270" s="282"/>
      <c r="L270" s="282"/>
      <c r="M270" s="282"/>
      <c r="N270" s="282"/>
      <c r="O270" s="282"/>
      <c r="P270" s="282"/>
      <c r="Q270" s="282"/>
      <c r="R270" s="282"/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  <c r="AC270" s="282"/>
      <c r="AD270" s="282"/>
      <c r="AE270" s="282"/>
      <c r="AF270" s="282"/>
      <c r="AG270" s="282"/>
      <c r="AH270" s="282"/>
      <c r="AI270" s="282"/>
      <c r="AJ270" s="282"/>
      <c r="AK270" s="282"/>
      <c r="AL270" s="282"/>
      <c r="AM270" s="282"/>
      <c r="AN270" s="282"/>
      <c r="AO270" s="282"/>
      <c r="AP270" s="282"/>
      <c r="AQ270" s="282"/>
      <c r="AR270" s="282"/>
      <c r="AS270" s="282"/>
      <c r="AT270" s="282"/>
      <c r="AU270" s="282"/>
      <c r="AV270" s="282"/>
      <c r="AW270" s="282"/>
      <c r="AX270" s="282"/>
      <c r="AY270" s="282"/>
      <c r="AZ270" s="282"/>
      <c r="BA270" s="59"/>
      <c r="BB270" s="59"/>
      <c r="BC270" s="59"/>
      <c r="BD270" s="59"/>
      <c r="BE270" s="59"/>
      <c r="BF270" s="59"/>
      <c r="BG270" s="59"/>
    </row>
    <row r="271" spans="1:59" ht="15.75" thickBot="1" x14ac:dyDescent="0.3">
      <c r="A271" s="59"/>
      <c r="B271" s="340" t="s">
        <v>342</v>
      </c>
      <c r="C271" s="340"/>
      <c r="D271" s="340"/>
      <c r="E271" s="218">
        <f t="shared" si="118"/>
        <v>-1.2223608791828156E-9</v>
      </c>
      <c r="F271" s="282"/>
      <c r="G271" s="282"/>
      <c r="H271" s="282"/>
      <c r="I271" s="282"/>
      <c r="J271" s="282"/>
      <c r="K271" s="282"/>
      <c r="L271" s="282"/>
      <c r="M271" s="282"/>
      <c r="N271" s="282"/>
      <c r="O271" s="282"/>
      <c r="P271" s="282"/>
      <c r="Q271" s="282"/>
      <c r="R271" s="282"/>
      <c r="S271" s="282"/>
      <c r="T271" s="282"/>
      <c r="U271" s="282"/>
      <c r="V271" s="282"/>
      <c r="W271" s="282"/>
      <c r="X271" s="282"/>
      <c r="Y271" s="282"/>
      <c r="Z271" s="282"/>
      <c r="AA271" s="282"/>
      <c r="AB271" s="282"/>
      <c r="AC271" s="282"/>
      <c r="AD271" s="282"/>
      <c r="AE271" s="282"/>
      <c r="AF271" s="282"/>
      <c r="AG271" s="282"/>
      <c r="AH271" s="282"/>
      <c r="AI271" s="282"/>
      <c r="AJ271" s="282"/>
      <c r="AK271" s="282"/>
      <c r="AL271" s="282"/>
      <c r="AM271" s="282"/>
      <c r="AN271" s="282"/>
      <c r="AO271" s="282"/>
      <c r="AP271" s="282"/>
      <c r="AQ271" s="282"/>
      <c r="AR271" s="282"/>
      <c r="AS271" s="282"/>
      <c r="AT271" s="282"/>
      <c r="AU271" s="282"/>
      <c r="AV271" s="282"/>
      <c r="AW271" s="282"/>
      <c r="AX271" s="282"/>
      <c r="AY271" s="282"/>
      <c r="AZ271" s="282"/>
      <c r="BA271" s="59"/>
      <c r="BB271" s="59"/>
      <c r="BC271" s="59"/>
      <c r="BD271" s="59"/>
      <c r="BE271" s="59"/>
      <c r="BF271" s="59"/>
      <c r="BG271" s="59"/>
    </row>
    <row r="272" spans="1:59" ht="15.75" thickBot="1" x14ac:dyDescent="0.3">
      <c r="A272" s="59"/>
      <c r="B272" s="340" t="s">
        <v>343</v>
      </c>
      <c r="C272" s="340"/>
      <c r="D272" s="340"/>
      <c r="E272" s="218">
        <f t="shared" si="118"/>
        <v>0</v>
      </c>
      <c r="F272" s="282"/>
      <c r="G272" s="282"/>
      <c r="H272" s="282"/>
      <c r="I272" s="282"/>
      <c r="J272" s="282"/>
      <c r="K272" s="282"/>
      <c r="L272" s="282"/>
      <c r="M272" s="282"/>
      <c r="N272" s="282"/>
      <c r="O272" s="282"/>
      <c r="P272" s="282"/>
      <c r="Q272" s="282"/>
      <c r="R272" s="282"/>
      <c r="S272" s="282"/>
      <c r="T272" s="282"/>
      <c r="U272" s="282"/>
      <c r="V272" s="282"/>
      <c r="W272" s="282"/>
      <c r="X272" s="282"/>
      <c r="Y272" s="282"/>
      <c r="Z272" s="282"/>
      <c r="AA272" s="282"/>
      <c r="AB272" s="282"/>
      <c r="AC272" s="282"/>
      <c r="AD272" s="282"/>
      <c r="AE272" s="282"/>
      <c r="AF272" s="282"/>
      <c r="AG272" s="282"/>
      <c r="AH272" s="282"/>
      <c r="AI272" s="282"/>
      <c r="AJ272" s="282"/>
      <c r="AK272" s="282"/>
      <c r="AL272" s="282"/>
      <c r="AM272" s="282"/>
      <c r="AN272" s="282"/>
      <c r="AO272" s="282"/>
      <c r="AP272" s="282"/>
      <c r="AQ272" s="282"/>
      <c r="AR272" s="282"/>
      <c r="AS272" s="282"/>
      <c r="AT272" s="282"/>
      <c r="AU272" s="282"/>
      <c r="AV272" s="282"/>
      <c r="AW272" s="282"/>
      <c r="AX272" s="282"/>
      <c r="AY272" s="282"/>
      <c r="AZ272" s="282"/>
      <c r="BA272" s="59"/>
      <c r="BB272" s="59"/>
      <c r="BC272" s="59"/>
      <c r="BD272" s="59"/>
      <c r="BE272" s="59"/>
      <c r="BF272" s="59"/>
      <c r="BG272" s="59"/>
    </row>
    <row r="273" spans="1:59" ht="15.75" thickBot="1" x14ac:dyDescent="0.3">
      <c r="A273" s="59"/>
      <c r="B273" s="340" t="s">
        <v>344</v>
      </c>
      <c r="C273" s="340"/>
      <c r="D273" s="340"/>
      <c r="E273" s="218">
        <f t="shared" si="118"/>
        <v>-7.4505805969238281E-9</v>
      </c>
      <c r="F273" s="282"/>
      <c r="G273" s="282"/>
      <c r="H273" s="282"/>
      <c r="I273" s="282"/>
      <c r="J273" s="282"/>
      <c r="K273" s="282"/>
      <c r="L273" s="282"/>
      <c r="M273" s="282"/>
      <c r="N273" s="282"/>
      <c r="O273" s="282"/>
      <c r="P273" s="282"/>
      <c r="Q273" s="282"/>
      <c r="R273" s="282"/>
      <c r="S273" s="282"/>
      <c r="T273" s="282"/>
      <c r="U273" s="282"/>
      <c r="V273" s="282"/>
      <c r="W273" s="282"/>
      <c r="X273" s="282"/>
      <c r="Y273" s="282"/>
      <c r="Z273" s="282"/>
      <c r="AA273" s="282"/>
      <c r="AB273" s="282"/>
      <c r="AC273" s="282"/>
      <c r="AD273" s="282"/>
      <c r="AE273" s="282"/>
      <c r="AF273" s="282"/>
      <c r="AG273" s="282"/>
      <c r="AH273" s="282"/>
      <c r="AI273" s="282"/>
      <c r="AJ273" s="282"/>
      <c r="AK273" s="282"/>
      <c r="AL273" s="282"/>
      <c r="AM273" s="282"/>
      <c r="AN273" s="282"/>
      <c r="AO273" s="282"/>
      <c r="AP273" s="282"/>
      <c r="AQ273" s="282"/>
      <c r="AR273" s="282"/>
      <c r="AS273" s="282"/>
      <c r="AT273" s="282"/>
      <c r="AU273" s="282"/>
      <c r="AV273" s="282"/>
      <c r="AW273" s="282"/>
      <c r="AX273" s="282"/>
      <c r="AY273" s="282"/>
      <c r="AZ273" s="282"/>
      <c r="BA273" s="59"/>
      <c r="BB273" s="59"/>
      <c r="BC273" s="59"/>
      <c r="BD273" s="59"/>
      <c r="BE273" s="59"/>
      <c r="BF273" s="59"/>
      <c r="BG273" s="59"/>
    </row>
    <row r="274" spans="1:59" ht="15.75" thickBot="1" x14ac:dyDescent="0.3">
      <c r="A274" s="59"/>
      <c r="B274" s="340" t="s">
        <v>345</v>
      </c>
      <c r="C274" s="340"/>
      <c r="D274" s="340"/>
      <c r="E274" s="218">
        <f t="shared" si="118"/>
        <v>1.6847252481966279E-9</v>
      </c>
      <c r="F274" s="282"/>
      <c r="G274" s="282"/>
      <c r="H274" s="282"/>
      <c r="I274" s="282"/>
      <c r="J274" s="282"/>
      <c r="K274" s="282"/>
      <c r="L274" s="282"/>
      <c r="M274" s="282"/>
      <c r="N274" s="282"/>
      <c r="O274" s="282"/>
      <c r="P274" s="282"/>
      <c r="Q274" s="282"/>
      <c r="R274" s="282"/>
      <c r="S274" s="282"/>
      <c r="T274" s="282"/>
      <c r="U274" s="282"/>
      <c r="V274" s="282"/>
      <c r="W274" s="282"/>
      <c r="X274" s="282"/>
      <c r="Y274" s="282"/>
      <c r="Z274" s="282"/>
      <c r="AA274" s="282"/>
      <c r="AB274" s="282"/>
      <c r="AC274" s="282"/>
      <c r="AD274" s="282"/>
      <c r="AE274" s="282"/>
      <c r="AF274" s="282"/>
      <c r="AG274" s="282"/>
      <c r="AH274" s="282"/>
      <c r="AI274" s="282"/>
      <c r="AJ274" s="282"/>
      <c r="AK274" s="282"/>
      <c r="AL274" s="282"/>
      <c r="AM274" s="282"/>
      <c r="AN274" s="282"/>
      <c r="AO274" s="282"/>
      <c r="AP274" s="282"/>
      <c r="AQ274" s="282"/>
      <c r="AR274" s="282"/>
      <c r="AS274" s="282"/>
      <c r="AT274" s="282"/>
      <c r="AU274" s="282"/>
      <c r="AV274" s="282"/>
      <c r="AW274" s="282"/>
      <c r="AX274" s="282"/>
      <c r="AY274" s="282"/>
      <c r="AZ274" s="282"/>
      <c r="BA274" s="59"/>
      <c r="BB274" s="59"/>
      <c r="BC274" s="59"/>
      <c r="BD274" s="59"/>
      <c r="BE274" s="59"/>
      <c r="BF274" s="59"/>
      <c r="BG274" s="59"/>
    </row>
    <row r="275" spans="1:59" ht="15.75" thickBot="1" x14ac:dyDescent="0.3">
      <c r="A275" s="59"/>
      <c r="B275" s="340" t="s">
        <v>346</v>
      </c>
      <c r="C275" s="340"/>
      <c r="D275" s="340"/>
      <c r="E275" s="218">
        <f t="shared" si="118"/>
        <v>1.5916157281026244E-11</v>
      </c>
      <c r="F275" s="282"/>
      <c r="G275" s="282"/>
      <c r="H275" s="282"/>
      <c r="I275" s="282"/>
      <c r="J275" s="282"/>
      <c r="K275" s="282"/>
      <c r="L275" s="282"/>
      <c r="M275" s="282"/>
      <c r="N275" s="282"/>
      <c r="O275" s="282"/>
      <c r="P275" s="282"/>
      <c r="Q275" s="282"/>
      <c r="R275" s="282"/>
      <c r="S275" s="282"/>
      <c r="T275" s="282"/>
      <c r="U275" s="282"/>
      <c r="V275" s="282"/>
      <c r="W275" s="282"/>
      <c r="X275" s="282"/>
      <c r="Y275" s="282"/>
      <c r="Z275" s="282"/>
      <c r="AA275" s="282"/>
      <c r="AB275" s="282"/>
      <c r="AC275" s="282"/>
      <c r="AD275" s="282"/>
      <c r="AE275" s="282"/>
      <c r="AF275" s="282"/>
      <c r="AG275" s="282"/>
      <c r="AH275" s="282"/>
      <c r="AI275" s="282"/>
      <c r="AJ275" s="282"/>
      <c r="AK275" s="282"/>
      <c r="AL275" s="282"/>
      <c r="AM275" s="282"/>
      <c r="AN275" s="282"/>
      <c r="AO275" s="282"/>
      <c r="AP275" s="282"/>
      <c r="AQ275" s="282"/>
      <c r="AR275" s="282"/>
      <c r="AS275" s="282"/>
      <c r="AT275" s="282"/>
      <c r="AU275" s="282"/>
      <c r="AV275" s="282"/>
      <c r="AW275" s="282"/>
      <c r="AX275" s="282"/>
      <c r="AY275" s="282"/>
      <c r="AZ275" s="282"/>
      <c r="BA275" s="59"/>
      <c r="BB275" s="59"/>
      <c r="BC275" s="59"/>
      <c r="BD275" s="59"/>
      <c r="BE275" s="59"/>
      <c r="BF275" s="59"/>
      <c r="BG275" s="59"/>
    </row>
    <row r="276" spans="1:59" ht="15.75" thickBot="1" x14ac:dyDescent="0.3">
      <c r="A276" s="59"/>
      <c r="B276" s="340" t="s">
        <v>347</v>
      </c>
      <c r="C276" s="340"/>
      <c r="D276" s="340"/>
      <c r="E276" s="218">
        <f t="shared" si="118"/>
        <v>-6.3810148276388645E-9</v>
      </c>
      <c r="F276" s="282"/>
      <c r="G276" s="282"/>
      <c r="H276" s="282"/>
      <c r="I276" s="282"/>
      <c r="J276" s="282"/>
      <c r="K276" s="282"/>
      <c r="L276" s="282"/>
      <c r="M276" s="282"/>
      <c r="N276" s="282"/>
      <c r="O276" s="282"/>
      <c r="P276" s="282"/>
      <c r="Q276" s="282"/>
      <c r="R276" s="282"/>
      <c r="S276" s="282"/>
      <c r="T276" s="282"/>
      <c r="U276" s="282"/>
      <c r="V276" s="282"/>
      <c r="W276" s="282"/>
      <c r="X276" s="282"/>
      <c r="Y276" s="282"/>
      <c r="Z276" s="282"/>
      <c r="AA276" s="282"/>
      <c r="AB276" s="282"/>
      <c r="AC276" s="282"/>
      <c r="AD276" s="282"/>
      <c r="AE276" s="282"/>
      <c r="AF276" s="282"/>
      <c r="AG276" s="282"/>
      <c r="AH276" s="282"/>
      <c r="AI276" s="282"/>
      <c r="AJ276" s="282"/>
      <c r="AK276" s="282"/>
      <c r="AL276" s="282"/>
      <c r="AM276" s="282"/>
      <c r="AN276" s="282"/>
      <c r="AO276" s="282"/>
      <c r="AP276" s="282"/>
      <c r="AQ276" s="282"/>
      <c r="AR276" s="282"/>
      <c r="AS276" s="282"/>
      <c r="AT276" s="282"/>
      <c r="AU276" s="282"/>
      <c r="AV276" s="282"/>
      <c r="AW276" s="282"/>
      <c r="AX276" s="282"/>
      <c r="AY276" s="282"/>
      <c r="AZ276" s="282"/>
      <c r="BA276" s="59"/>
      <c r="BB276" s="59"/>
      <c r="BC276" s="59"/>
      <c r="BD276" s="59"/>
      <c r="BE276" s="59"/>
      <c r="BF276" s="59"/>
      <c r="BG276" s="59"/>
    </row>
    <row r="277" spans="1:59" ht="15.75" thickBot="1" x14ac:dyDescent="0.3">
      <c r="A277" s="59"/>
      <c r="B277" s="340" t="s">
        <v>348</v>
      </c>
      <c r="C277" s="340"/>
      <c r="D277" s="340"/>
      <c r="E277" s="218">
        <f t="shared" si="118"/>
        <v>-1.4915713109076023E-10</v>
      </c>
      <c r="F277" s="282"/>
      <c r="G277" s="282"/>
      <c r="H277" s="282"/>
      <c r="I277" s="282"/>
      <c r="J277" s="282"/>
      <c r="K277" s="282"/>
      <c r="L277" s="282"/>
      <c r="M277" s="282"/>
      <c r="N277" s="282"/>
      <c r="O277" s="282"/>
      <c r="P277" s="282"/>
      <c r="Q277" s="282"/>
      <c r="R277" s="282"/>
      <c r="S277" s="282"/>
      <c r="T277" s="282"/>
      <c r="U277" s="282"/>
      <c r="V277" s="282"/>
      <c r="W277" s="282"/>
      <c r="X277" s="282"/>
      <c r="Y277" s="282"/>
      <c r="Z277" s="282"/>
      <c r="AA277" s="282"/>
      <c r="AB277" s="282"/>
      <c r="AC277" s="282"/>
      <c r="AD277" s="282"/>
      <c r="AE277" s="282"/>
      <c r="AF277" s="282"/>
      <c r="AG277" s="282"/>
      <c r="AH277" s="282"/>
      <c r="AI277" s="282"/>
      <c r="AJ277" s="282"/>
      <c r="AK277" s="282"/>
      <c r="AL277" s="282"/>
      <c r="AM277" s="282"/>
      <c r="AN277" s="282"/>
      <c r="AO277" s="282"/>
      <c r="AP277" s="282"/>
      <c r="AQ277" s="282"/>
      <c r="AR277" s="282"/>
      <c r="AS277" s="282"/>
      <c r="AT277" s="282"/>
      <c r="AU277" s="282"/>
      <c r="AV277" s="282"/>
      <c r="AW277" s="282"/>
      <c r="AX277" s="282"/>
      <c r="AY277" s="282"/>
      <c r="AZ277" s="282"/>
      <c r="BA277" s="59"/>
      <c r="BB277" s="59"/>
      <c r="BC277" s="59"/>
      <c r="BD277" s="59"/>
      <c r="BE277" s="59"/>
      <c r="BF277" s="59"/>
      <c r="BG277" s="59"/>
    </row>
    <row r="278" spans="1:59" ht="15.75" thickBot="1" x14ac:dyDescent="0.3">
      <c r="A278" s="59"/>
      <c r="B278" s="340" t="s">
        <v>349</v>
      </c>
      <c r="C278" s="340"/>
      <c r="D278" s="340"/>
      <c r="E278" s="218">
        <f t="shared" si="118"/>
        <v>5.8207660913467407E-11</v>
      </c>
      <c r="F278" s="282"/>
      <c r="G278" s="282"/>
      <c r="H278" s="282"/>
      <c r="I278" s="282"/>
      <c r="J278" s="282"/>
      <c r="K278" s="282"/>
      <c r="L278" s="282"/>
      <c r="M278" s="282"/>
      <c r="N278" s="282"/>
      <c r="O278" s="282"/>
      <c r="P278" s="282"/>
      <c r="Q278" s="282"/>
      <c r="R278" s="282"/>
      <c r="S278" s="282"/>
      <c r="T278" s="282"/>
      <c r="U278" s="282"/>
      <c r="V278" s="282"/>
      <c r="W278" s="282"/>
      <c r="X278" s="282"/>
      <c r="Y278" s="282"/>
      <c r="Z278" s="282"/>
      <c r="AA278" s="282"/>
      <c r="AB278" s="282"/>
      <c r="AC278" s="282"/>
      <c r="AD278" s="282"/>
      <c r="AE278" s="282"/>
      <c r="AF278" s="282"/>
      <c r="AG278" s="282"/>
      <c r="AH278" s="282"/>
      <c r="AI278" s="282"/>
      <c r="AJ278" s="282"/>
      <c r="AK278" s="282"/>
      <c r="AL278" s="282"/>
      <c r="AM278" s="282"/>
      <c r="AN278" s="282"/>
      <c r="AO278" s="282"/>
      <c r="AP278" s="282"/>
      <c r="AQ278" s="282"/>
      <c r="AR278" s="282"/>
      <c r="AS278" s="282"/>
      <c r="AT278" s="282"/>
      <c r="AU278" s="282"/>
      <c r="AV278" s="282"/>
      <c r="AW278" s="282"/>
      <c r="AX278" s="282"/>
      <c r="AY278" s="282"/>
      <c r="AZ278" s="282"/>
      <c r="BA278" s="59"/>
      <c r="BB278" s="59"/>
      <c r="BC278" s="59"/>
      <c r="BD278" s="59"/>
      <c r="BE278" s="59"/>
      <c r="BF278" s="59"/>
      <c r="BG278" s="59"/>
    </row>
    <row r="279" spans="1:59" ht="15.75" thickBot="1" x14ac:dyDescent="0.3">
      <c r="A279" s="59"/>
      <c r="B279" s="340" t="s">
        <v>350</v>
      </c>
      <c r="C279" s="340"/>
      <c r="D279" s="340"/>
      <c r="E279" s="218">
        <f t="shared" si="118"/>
        <v>9.3132257461547852E-10</v>
      </c>
      <c r="F279" s="282"/>
      <c r="G279" s="282"/>
      <c r="H279" s="282"/>
      <c r="I279" s="282"/>
      <c r="J279" s="282"/>
      <c r="K279" s="282"/>
      <c r="L279" s="282"/>
      <c r="M279" s="282"/>
      <c r="N279" s="282"/>
      <c r="O279" s="282"/>
      <c r="P279" s="282"/>
      <c r="Q279" s="282"/>
      <c r="R279" s="282"/>
      <c r="S279" s="282"/>
      <c r="T279" s="282"/>
      <c r="U279" s="282"/>
      <c r="V279" s="282"/>
      <c r="W279" s="282"/>
      <c r="X279" s="282"/>
      <c r="Y279" s="282"/>
      <c r="Z279" s="282"/>
      <c r="AA279" s="282"/>
      <c r="AB279" s="282"/>
      <c r="AC279" s="282"/>
      <c r="AD279" s="282"/>
      <c r="AE279" s="282"/>
      <c r="AF279" s="282"/>
      <c r="AG279" s="282"/>
      <c r="AH279" s="282"/>
      <c r="AI279" s="282"/>
      <c r="AJ279" s="282"/>
      <c r="AK279" s="282"/>
      <c r="AL279" s="282"/>
      <c r="AM279" s="282"/>
      <c r="AN279" s="282"/>
      <c r="AO279" s="282"/>
      <c r="AP279" s="282"/>
      <c r="AQ279" s="282"/>
      <c r="AR279" s="282"/>
      <c r="AS279" s="282"/>
      <c r="AT279" s="282"/>
      <c r="AU279" s="282"/>
      <c r="AV279" s="282"/>
      <c r="AW279" s="282"/>
      <c r="AX279" s="282"/>
      <c r="AY279" s="282"/>
      <c r="AZ279" s="282"/>
      <c r="BA279" s="59"/>
      <c r="BB279" s="59"/>
      <c r="BC279" s="59"/>
      <c r="BD279" s="59"/>
      <c r="BE279" s="59"/>
      <c r="BF279" s="59"/>
      <c r="BG279" s="59"/>
    </row>
    <row r="280" spans="1:59" ht="15.75" thickBot="1" x14ac:dyDescent="0.3">
      <c r="A280" s="59"/>
      <c r="B280" s="340" t="s">
        <v>351</v>
      </c>
      <c r="C280" s="340"/>
      <c r="D280" s="340"/>
      <c r="E280" s="218">
        <f t="shared" si="118"/>
        <v>5.2750692702829838E-11</v>
      </c>
      <c r="F280" s="282"/>
      <c r="G280" s="282"/>
      <c r="H280" s="282"/>
      <c r="I280" s="282"/>
      <c r="J280" s="282"/>
      <c r="K280" s="282"/>
      <c r="L280" s="282"/>
      <c r="M280" s="282"/>
      <c r="N280" s="282"/>
      <c r="O280" s="282"/>
      <c r="P280" s="282"/>
      <c r="Q280" s="282"/>
      <c r="R280" s="282"/>
      <c r="S280" s="282"/>
      <c r="T280" s="282"/>
      <c r="U280" s="282"/>
      <c r="V280" s="282"/>
      <c r="W280" s="282"/>
      <c r="X280" s="282"/>
      <c r="Y280" s="282"/>
      <c r="Z280" s="282"/>
      <c r="AA280" s="282"/>
      <c r="AB280" s="282"/>
      <c r="AC280" s="282"/>
      <c r="AD280" s="282"/>
      <c r="AE280" s="282"/>
      <c r="AF280" s="282"/>
      <c r="AG280" s="282"/>
      <c r="AH280" s="282"/>
      <c r="AI280" s="282"/>
      <c r="AJ280" s="282"/>
      <c r="AK280" s="282"/>
      <c r="AL280" s="282"/>
      <c r="AM280" s="282"/>
      <c r="AN280" s="282"/>
      <c r="AO280" s="282"/>
      <c r="AP280" s="282"/>
      <c r="AQ280" s="282"/>
      <c r="AR280" s="282"/>
      <c r="AS280" s="282"/>
      <c r="AT280" s="282"/>
      <c r="AU280" s="282"/>
      <c r="AV280" s="282"/>
      <c r="AW280" s="282"/>
      <c r="AX280" s="282"/>
      <c r="AY280" s="282"/>
      <c r="AZ280" s="282"/>
      <c r="BA280" s="59"/>
      <c r="BB280" s="59"/>
      <c r="BC280" s="59"/>
      <c r="BD280" s="59"/>
      <c r="BE280" s="59"/>
      <c r="BF280" s="59"/>
      <c r="BG280" s="59"/>
    </row>
    <row r="281" spans="1:59" ht="15.75" thickBot="1" x14ac:dyDescent="0.3">
      <c r="A281" s="59"/>
      <c r="B281" s="340" t="s">
        <v>352</v>
      </c>
      <c r="C281" s="340"/>
      <c r="D281" s="340"/>
      <c r="E281" s="218">
        <f t="shared" si="118"/>
        <v>-2.9103830456733704E-11</v>
      </c>
      <c r="F281" s="282"/>
      <c r="G281" s="282"/>
      <c r="H281" s="282"/>
      <c r="I281" s="282"/>
      <c r="J281" s="282"/>
      <c r="K281" s="282"/>
      <c r="L281" s="282"/>
      <c r="M281" s="282"/>
      <c r="N281" s="282"/>
      <c r="O281" s="282"/>
      <c r="P281" s="282"/>
      <c r="Q281" s="282"/>
      <c r="R281" s="282"/>
      <c r="S281" s="282"/>
      <c r="T281" s="282"/>
      <c r="U281" s="282"/>
      <c r="V281" s="282"/>
      <c r="W281" s="282"/>
      <c r="X281" s="282"/>
      <c r="Y281" s="282"/>
      <c r="Z281" s="282"/>
      <c r="AA281" s="282"/>
      <c r="AB281" s="282"/>
      <c r="AC281" s="282"/>
      <c r="AD281" s="282"/>
      <c r="AE281" s="282"/>
      <c r="AF281" s="282"/>
      <c r="AG281" s="282"/>
      <c r="AH281" s="282"/>
      <c r="AI281" s="282"/>
      <c r="AJ281" s="282"/>
      <c r="AK281" s="282"/>
      <c r="AL281" s="282"/>
      <c r="AM281" s="282"/>
      <c r="AN281" s="282"/>
      <c r="AO281" s="282"/>
      <c r="AP281" s="282"/>
      <c r="AQ281" s="282"/>
      <c r="AR281" s="282"/>
      <c r="AS281" s="282"/>
      <c r="AT281" s="282"/>
      <c r="AU281" s="282"/>
      <c r="AV281" s="282"/>
      <c r="AW281" s="282"/>
      <c r="AX281" s="282"/>
      <c r="AY281" s="282"/>
      <c r="AZ281" s="282"/>
      <c r="BA281" s="59"/>
      <c r="BB281" s="59"/>
      <c r="BC281" s="59"/>
      <c r="BD281" s="59"/>
      <c r="BE281" s="59"/>
      <c r="BF281" s="59"/>
      <c r="BG281" s="59"/>
    </row>
    <row r="282" spans="1:59" ht="15.75" thickBot="1" x14ac:dyDescent="0.3">
      <c r="A282" s="59"/>
      <c r="B282" s="340" t="s">
        <v>353</v>
      </c>
      <c r="C282" s="340"/>
      <c r="D282" s="340"/>
      <c r="E282" s="218">
        <f t="shared" si="118"/>
        <v>-6.9849193096160889E-10</v>
      </c>
      <c r="F282" s="282"/>
      <c r="G282" s="282"/>
      <c r="H282" s="282"/>
      <c r="I282" s="282"/>
      <c r="J282" s="282"/>
      <c r="K282" s="282"/>
      <c r="L282" s="282"/>
      <c r="M282" s="282"/>
      <c r="N282" s="282"/>
      <c r="O282" s="282"/>
      <c r="P282" s="282"/>
      <c r="Q282" s="282"/>
      <c r="R282" s="282"/>
      <c r="S282" s="282"/>
      <c r="T282" s="282"/>
      <c r="U282" s="282"/>
      <c r="V282" s="282"/>
      <c r="W282" s="282"/>
      <c r="X282" s="282"/>
      <c r="Y282" s="282"/>
      <c r="Z282" s="282"/>
      <c r="AA282" s="282"/>
      <c r="AB282" s="282"/>
      <c r="AC282" s="282"/>
      <c r="AD282" s="282"/>
      <c r="AE282" s="282"/>
      <c r="AF282" s="282"/>
      <c r="AG282" s="282"/>
      <c r="AH282" s="282"/>
      <c r="AI282" s="282"/>
      <c r="AJ282" s="282"/>
      <c r="AK282" s="282"/>
      <c r="AL282" s="282"/>
      <c r="AM282" s="282"/>
      <c r="AN282" s="282"/>
      <c r="AO282" s="282"/>
      <c r="AP282" s="282"/>
      <c r="AQ282" s="282"/>
      <c r="AR282" s="282"/>
      <c r="AS282" s="282"/>
      <c r="AT282" s="282"/>
      <c r="AU282" s="282"/>
      <c r="AV282" s="282"/>
      <c r="AW282" s="282"/>
      <c r="AX282" s="282"/>
      <c r="AY282" s="282"/>
      <c r="AZ282" s="282"/>
      <c r="BA282" s="59"/>
      <c r="BB282" s="59"/>
      <c r="BC282" s="59"/>
      <c r="BD282" s="59"/>
      <c r="BE282" s="59"/>
      <c r="BF282" s="59"/>
      <c r="BG282" s="59"/>
    </row>
    <row r="283" spans="1:59" ht="15.75" thickBot="1" x14ac:dyDescent="0.3">
      <c r="A283" s="59"/>
      <c r="B283" s="340" t="s">
        <v>354</v>
      </c>
      <c r="C283" s="340"/>
      <c r="D283" s="340"/>
      <c r="E283" s="218">
        <f t="shared" si="118"/>
        <v>4.6566128730773926E-10</v>
      </c>
      <c r="F283" s="282"/>
      <c r="G283" s="282"/>
      <c r="H283" s="282"/>
      <c r="I283" s="282"/>
      <c r="J283" s="282"/>
      <c r="K283" s="282"/>
      <c r="L283" s="282"/>
      <c r="M283" s="282"/>
      <c r="N283" s="282"/>
      <c r="O283" s="282"/>
      <c r="P283" s="282"/>
      <c r="Q283" s="282"/>
      <c r="R283" s="282"/>
      <c r="S283" s="282"/>
      <c r="T283" s="282"/>
      <c r="U283" s="282"/>
      <c r="V283" s="282"/>
      <c r="W283" s="282"/>
      <c r="X283" s="282"/>
      <c r="Y283" s="282"/>
      <c r="Z283" s="282"/>
      <c r="AA283" s="282"/>
      <c r="AB283" s="282"/>
      <c r="AC283" s="282"/>
      <c r="AD283" s="282"/>
      <c r="AE283" s="282"/>
      <c r="AF283" s="282"/>
      <c r="AG283" s="282"/>
      <c r="AH283" s="282"/>
      <c r="AI283" s="282"/>
      <c r="AJ283" s="282"/>
      <c r="AK283" s="282"/>
      <c r="AL283" s="282"/>
      <c r="AM283" s="282"/>
      <c r="AN283" s="282"/>
      <c r="AO283" s="282"/>
      <c r="AP283" s="282"/>
      <c r="AQ283" s="282"/>
      <c r="AR283" s="282"/>
      <c r="AS283" s="282"/>
      <c r="AT283" s="282"/>
      <c r="AU283" s="282"/>
      <c r="AV283" s="282"/>
      <c r="AW283" s="282"/>
      <c r="AX283" s="282"/>
      <c r="AY283" s="282"/>
      <c r="AZ283" s="282"/>
      <c r="BA283" s="59"/>
      <c r="BB283" s="59"/>
      <c r="BC283" s="59"/>
      <c r="BD283" s="59"/>
      <c r="BE283" s="59"/>
      <c r="BF283" s="59"/>
      <c r="BG283" s="59"/>
    </row>
    <row r="284" spans="1:59" ht="15.75" thickBot="1" x14ac:dyDescent="0.3">
      <c r="A284" s="59"/>
      <c r="B284" s="340" t="s">
        <v>355</v>
      </c>
      <c r="C284" s="340"/>
      <c r="D284" s="340"/>
      <c r="E284" s="218">
        <f t="shared" si="118"/>
        <v>-2.3646862246096134E-11</v>
      </c>
      <c r="F284" s="282"/>
      <c r="G284" s="282"/>
      <c r="H284" s="282"/>
      <c r="I284" s="282"/>
      <c r="J284" s="282"/>
      <c r="K284" s="282"/>
      <c r="L284" s="282"/>
      <c r="M284" s="282"/>
      <c r="N284" s="282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  <c r="AD284" s="282"/>
      <c r="AE284" s="282"/>
      <c r="AF284" s="282"/>
      <c r="AG284" s="282"/>
      <c r="AH284" s="282"/>
      <c r="AI284" s="282"/>
      <c r="AJ284" s="282"/>
      <c r="AK284" s="282"/>
      <c r="AL284" s="282"/>
      <c r="AM284" s="282"/>
      <c r="AN284" s="282"/>
      <c r="AO284" s="282"/>
      <c r="AP284" s="282"/>
      <c r="AQ284" s="282"/>
      <c r="AR284" s="282"/>
      <c r="AS284" s="282"/>
      <c r="AT284" s="282"/>
      <c r="AU284" s="282"/>
      <c r="AV284" s="282"/>
      <c r="AW284" s="282"/>
      <c r="AX284" s="282"/>
      <c r="AY284" s="282"/>
      <c r="AZ284" s="282"/>
      <c r="BA284" s="59"/>
      <c r="BB284" s="59"/>
      <c r="BC284" s="59"/>
      <c r="BD284" s="59"/>
      <c r="BE284" s="59"/>
      <c r="BF284" s="59"/>
      <c r="BG284" s="59"/>
    </row>
    <row r="285" spans="1:59" ht="15.75" thickBot="1" x14ac:dyDescent="0.3">
      <c r="A285" s="59"/>
      <c r="B285" s="340" t="s">
        <v>356</v>
      </c>
      <c r="C285" s="340"/>
      <c r="D285" s="340"/>
      <c r="E285" s="218">
        <f t="shared" si="118"/>
        <v>3.7252902984619141E-8</v>
      </c>
      <c r="F285" s="282"/>
      <c r="G285" s="282"/>
      <c r="H285" s="282"/>
      <c r="I285" s="282"/>
      <c r="J285" s="282"/>
      <c r="K285" s="282"/>
      <c r="L285" s="282"/>
      <c r="M285" s="282"/>
      <c r="N285" s="282"/>
      <c r="O285" s="282"/>
      <c r="P285" s="282"/>
      <c r="Q285" s="282"/>
      <c r="R285" s="282"/>
      <c r="S285" s="282"/>
      <c r="T285" s="282"/>
      <c r="U285" s="282"/>
      <c r="V285" s="282"/>
      <c r="W285" s="282"/>
      <c r="X285" s="282"/>
      <c r="Y285" s="282"/>
      <c r="Z285" s="282"/>
      <c r="AA285" s="282"/>
      <c r="AB285" s="282"/>
      <c r="AC285" s="282"/>
      <c r="AD285" s="282"/>
      <c r="AE285" s="282"/>
      <c r="AF285" s="282"/>
      <c r="AG285" s="282"/>
      <c r="AH285" s="282"/>
      <c r="AI285" s="282"/>
      <c r="AJ285" s="282"/>
      <c r="AK285" s="282"/>
      <c r="AL285" s="282"/>
      <c r="AM285" s="282"/>
      <c r="AN285" s="282"/>
      <c r="AO285" s="282"/>
      <c r="AP285" s="282"/>
      <c r="AQ285" s="282"/>
      <c r="AR285" s="282"/>
      <c r="AS285" s="282"/>
      <c r="AT285" s="282"/>
      <c r="AU285" s="282"/>
      <c r="AV285" s="282"/>
      <c r="AW285" s="282"/>
      <c r="AX285" s="282"/>
      <c r="AY285" s="282"/>
      <c r="AZ285" s="282"/>
      <c r="BA285" s="59"/>
      <c r="BB285" s="59"/>
      <c r="BC285" s="59"/>
      <c r="BD285" s="59"/>
      <c r="BE285" s="59"/>
      <c r="BF285" s="59"/>
      <c r="BG285" s="59"/>
    </row>
    <row r="286" spans="1:59" ht="15.75" thickBot="1" x14ac:dyDescent="0.3">
      <c r="A286" s="59"/>
      <c r="B286" s="340" t="s">
        <v>357</v>
      </c>
      <c r="C286" s="340"/>
      <c r="D286" s="340"/>
      <c r="E286" s="218">
        <f t="shared" si="118"/>
        <v>-5.5297277867794037E-10</v>
      </c>
      <c r="F286" s="282"/>
      <c r="G286" s="282"/>
      <c r="H286" s="282"/>
      <c r="I286" s="282"/>
      <c r="J286" s="282"/>
      <c r="K286" s="282"/>
      <c r="L286" s="282"/>
      <c r="M286" s="282"/>
      <c r="N286" s="282"/>
      <c r="O286" s="282"/>
      <c r="P286" s="282"/>
      <c r="Q286" s="282"/>
      <c r="R286" s="282"/>
      <c r="S286" s="282"/>
      <c r="T286" s="282"/>
      <c r="U286" s="282"/>
      <c r="V286" s="282"/>
      <c r="W286" s="282"/>
      <c r="X286" s="282"/>
      <c r="Y286" s="282"/>
      <c r="Z286" s="282"/>
      <c r="AA286" s="282"/>
      <c r="AB286" s="282"/>
      <c r="AC286" s="282"/>
      <c r="AD286" s="282"/>
      <c r="AE286" s="282"/>
      <c r="AF286" s="282"/>
      <c r="AG286" s="282"/>
      <c r="AH286" s="282"/>
      <c r="AI286" s="282"/>
      <c r="AJ286" s="282"/>
      <c r="AK286" s="282"/>
      <c r="AL286" s="282"/>
      <c r="AM286" s="282"/>
      <c r="AN286" s="282"/>
      <c r="AO286" s="282"/>
      <c r="AP286" s="282"/>
      <c r="AQ286" s="282"/>
      <c r="AR286" s="282"/>
      <c r="AS286" s="282"/>
      <c r="AT286" s="282"/>
      <c r="AU286" s="282"/>
      <c r="AV286" s="282"/>
      <c r="AW286" s="282"/>
      <c r="AX286" s="282"/>
      <c r="AY286" s="282"/>
      <c r="AZ286" s="282"/>
      <c r="BA286" s="59"/>
      <c r="BB286" s="59"/>
      <c r="BC286" s="59"/>
      <c r="BD286" s="59"/>
      <c r="BE286" s="59"/>
      <c r="BF286" s="59"/>
      <c r="BG286" s="59"/>
    </row>
    <row r="287" spans="1:59" ht="15.75" thickBot="1" x14ac:dyDescent="0.3">
      <c r="A287" s="59"/>
      <c r="B287" s="340" t="s">
        <v>358</v>
      </c>
      <c r="C287" s="340"/>
      <c r="D287" s="340"/>
      <c r="E287" s="218">
        <f t="shared" si="118"/>
        <v>4.5474735088646412E-13</v>
      </c>
      <c r="F287" s="282"/>
      <c r="G287" s="282"/>
      <c r="H287" s="282"/>
      <c r="I287" s="282"/>
      <c r="J287" s="282"/>
      <c r="K287" s="282"/>
      <c r="L287" s="282"/>
      <c r="M287" s="282"/>
      <c r="N287" s="282"/>
      <c r="O287" s="282"/>
      <c r="P287" s="282"/>
      <c r="Q287" s="282"/>
      <c r="R287" s="282"/>
      <c r="S287" s="282"/>
      <c r="T287" s="282"/>
      <c r="U287" s="282"/>
      <c r="V287" s="282"/>
      <c r="W287" s="282"/>
      <c r="X287" s="282"/>
      <c r="Y287" s="282"/>
      <c r="Z287" s="282"/>
      <c r="AA287" s="282"/>
      <c r="AB287" s="282"/>
      <c r="AC287" s="282"/>
      <c r="AD287" s="282"/>
      <c r="AE287" s="282"/>
      <c r="AF287" s="282"/>
      <c r="AG287" s="282"/>
      <c r="AH287" s="282"/>
      <c r="AI287" s="282"/>
      <c r="AJ287" s="282"/>
      <c r="AK287" s="282"/>
      <c r="AL287" s="282"/>
      <c r="AM287" s="282"/>
      <c r="AN287" s="282"/>
      <c r="AO287" s="282"/>
      <c r="AP287" s="282"/>
      <c r="AQ287" s="282"/>
      <c r="AR287" s="282"/>
      <c r="AS287" s="282"/>
      <c r="AT287" s="282"/>
      <c r="AU287" s="282"/>
      <c r="AV287" s="282"/>
      <c r="AW287" s="282"/>
      <c r="AX287" s="282"/>
      <c r="AY287" s="282"/>
      <c r="AZ287" s="282"/>
      <c r="BA287" s="59"/>
      <c r="BB287" s="59"/>
      <c r="BC287" s="59"/>
      <c r="BD287" s="59"/>
      <c r="BE287" s="59"/>
      <c r="BF287" s="59"/>
      <c r="BG287" s="59"/>
    </row>
    <row r="288" spans="1:59" ht="15.75" thickBot="1" x14ac:dyDescent="0.3">
      <c r="A288" s="59"/>
      <c r="B288" s="340" t="s">
        <v>359</v>
      </c>
      <c r="C288" s="340"/>
      <c r="D288" s="340"/>
      <c r="E288" s="218">
        <f t="shared" si="118"/>
        <v>2.7939677238464355E-9</v>
      </c>
      <c r="F288" s="282"/>
      <c r="G288" s="282"/>
      <c r="H288" s="282"/>
      <c r="I288" s="282"/>
      <c r="J288" s="282"/>
      <c r="K288" s="282"/>
      <c r="L288" s="282"/>
      <c r="M288" s="282"/>
      <c r="N288" s="282"/>
      <c r="O288" s="282"/>
      <c r="P288" s="282"/>
      <c r="Q288" s="282"/>
      <c r="R288" s="282"/>
      <c r="S288" s="282"/>
      <c r="T288" s="282"/>
      <c r="U288" s="282"/>
      <c r="V288" s="282"/>
      <c r="W288" s="282"/>
      <c r="X288" s="282"/>
      <c r="Y288" s="282"/>
      <c r="Z288" s="282"/>
      <c r="AA288" s="282"/>
      <c r="AB288" s="282"/>
      <c r="AC288" s="282"/>
      <c r="AD288" s="282"/>
      <c r="AE288" s="282"/>
      <c r="AF288" s="282"/>
      <c r="AG288" s="282"/>
      <c r="AH288" s="282"/>
      <c r="AI288" s="282"/>
      <c r="AJ288" s="282"/>
      <c r="AK288" s="282"/>
      <c r="AL288" s="282"/>
      <c r="AM288" s="282"/>
      <c r="AN288" s="282"/>
      <c r="AO288" s="282"/>
      <c r="AP288" s="282"/>
      <c r="AQ288" s="282"/>
      <c r="AR288" s="282"/>
      <c r="AS288" s="282"/>
      <c r="AT288" s="282"/>
      <c r="AU288" s="282"/>
      <c r="AV288" s="282"/>
      <c r="AW288" s="282"/>
      <c r="AX288" s="282"/>
      <c r="AY288" s="282"/>
      <c r="AZ288" s="282"/>
      <c r="BA288" s="59"/>
      <c r="BB288" s="59"/>
      <c r="BC288" s="59"/>
      <c r="BD288" s="59"/>
      <c r="BE288" s="59"/>
      <c r="BF288" s="59"/>
      <c r="BG288" s="59"/>
    </row>
    <row r="289" spans="1:59" ht="15.75" thickBot="1" x14ac:dyDescent="0.3">
      <c r="A289" s="59"/>
      <c r="B289" s="340" t="s">
        <v>360</v>
      </c>
      <c r="C289" s="340"/>
      <c r="D289" s="340"/>
      <c r="E289" s="218">
        <f t="shared" si="118"/>
        <v>1.6007106751203537E-10</v>
      </c>
      <c r="F289" s="282"/>
      <c r="G289" s="282"/>
      <c r="H289" s="282"/>
      <c r="I289" s="282"/>
      <c r="J289" s="282"/>
      <c r="K289" s="282"/>
      <c r="L289" s="282"/>
      <c r="M289" s="282"/>
      <c r="N289" s="282"/>
      <c r="O289" s="282"/>
      <c r="P289" s="282"/>
      <c r="Q289" s="282"/>
      <c r="R289" s="282"/>
      <c r="S289" s="282"/>
      <c r="T289" s="282"/>
      <c r="U289" s="282"/>
      <c r="V289" s="282"/>
      <c r="W289" s="282"/>
      <c r="X289" s="282"/>
      <c r="Y289" s="282"/>
      <c r="Z289" s="282"/>
      <c r="AA289" s="282"/>
      <c r="AB289" s="282"/>
      <c r="AC289" s="282"/>
      <c r="AD289" s="282"/>
      <c r="AE289" s="282"/>
      <c r="AF289" s="282"/>
      <c r="AG289" s="282"/>
      <c r="AH289" s="282"/>
      <c r="AI289" s="282"/>
      <c r="AJ289" s="282"/>
      <c r="AK289" s="282"/>
      <c r="AL289" s="282"/>
      <c r="AM289" s="282"/>
      <c r="AN289" s="282"/>
      <c r="AO289" s="282"/>
      <c r="AP289" s="282"/>
      <c r="AQ289" s="282"/>
      <c r="AR289" s="282"/>
      <c r="AS289" s="282"/>
      <c r="AT289" s="282"/>
      <c r="AU289" s="282"/>
      <c r="AV289" s="282"/>
      <c r="AW289" s="282"/>
      <c r="AX289" s="282"/>
      <c r="AY289" s="282"/>
      <c r="AZ289" s="282"/>
      <c r="BA289" s="59"/>
      <c r="BB289" s="59"/>
      <c r="BC289" s="59"/>
      <c r="BD289" s="59"/>
      <c r="BE289" s="59"/>
      <c r="BF289" s="59"/>
      <c r="BG289" s="59"/>
    </row>
    <row r="290" spans="1:59" ht="15.75" thickBot="1" x14ac:dyDescent="0.3">
      <c r="A290" s="59"/>
      <c r="B290" s="340" t="s">
        <v>361</v>
      </c>
      <c r="C290" s="340"/>
      <c r="D290" s="340"/>
      <c r="E290" s="218">
        <f t="shared" si="118"/>
        <v>4.5474735088646412E-13</v>
      </c>
      <c r="F290" s="282"/>
      <c r="G290" s="282"/>
      <c r="H290" s="282"/>
      <c r="I290" s="282"/>
      <c r="J290" s="282"/>
      <c r="K290" s="282"/>
      <c r="L290" s="282"/>
      <c r="M290" s="282"/>
      <c r="N290" s="282"/>
      <c r="O290" s="282"/>
      <c r="P290" s="282"/>
      <c r="Q290" s="282"/>
      <c r="R290" s="282"/>
      <c r="S290" s="282"/>
      <c r="T290" s="282"/>
      <c r="U290" s="282"/>
      <c r="V290" s="282"/>
      <c r="W290" s="282"/>
      <c r="X290" s="282"/>
      <c r="Y290" s="282"/>
      <c r="Z290" s="282"/>
      <c r="AA290" s="282"/>
      <c r="AB290" s="282"/>
      <c r="AC290" s="282"/>
      <c r="AD290" s="282"/>
      <c r="AE290" s="282"/>
      <c r="AF290" s="282"/>
      <c r="AG290" s="282"/>
      <c r="AH290" s="282"/>
      <c r="AI290" s="282"/>
      <c r="AJ290" s="282"/>
      <c r="AK290" s="282"/>
      <c r="AL290" s="282"/>
      <c r="AM290" s="282"/>
      <c r="AN290" s="282"/>
      <c r="AO290" s="282"/>
      <c r="AP290" s="282"/>
      <c r="AQ290" s="282"/>
      <c r="AR290" s="282"/>
      <c r="AS290" s="282"/>
      <c r="AT290" s="282"/>
      <c r="AU290" s="282"/>
      <c r="AV290" s="282"/>
      <c r="AW290" s="282"/>
      <c r="AX290" s="282"/>
      <c r="AY290" s="282"/>
      <c r="AZ290" s="282"/>
      <c r="BA290" s="59"/>
      <c r="BB290" s="59"/>
      <c r="BC290" s="59"/>
      <c r="BD290" s="59"/>
      <c r="BE290" s="59"/>
      <c r="BF290" s="59"/>
      <c r="BG290" s="59"/>
    </row>
    <row r="291" spans="1:59" ht="15.75" thickBot="1" x14ac:dyDescent="0.3">
      <c r="A291" s="59"/>
      <c r="B291" s="340" t="s">
        <v>362</v>
      </c>
      <c r="C291" s="340"/>
      <c r="D291" s="340"/>
      <c r="E291" s="218">
        <f t="shared" si="118"/>
        <v>0</v>
      </c>
      <c r="F291" s="282"/>
      <c r="G291" s="282"/>
      <c r="H291" s="282"/>
      <c r="I291" s="282"/>
      <c r="J291" s="282"/>
      <c r="K291" s="282"/>
      <c r="L291" s="282"/>
      <c r="M291" s="282"/>
      <c r="N291" s="282"/>
      <c r="O291" s="282"/>
      <c r="P291" s="282"/>
      <c r="Q291" s="282"/>
      <c r="R291" s="282"/>
      <c r="S291" s="282"/>
      <c r="T291" s="282"/>
      <c r="U291" s="282"/>
      <c r="V291" s="282"/>
      <c r="W291" s="282"/>
      <c r="X291" s="282"/>
      <c r="Y291" s="282"/>
      <c r="Z291" s="282"/>
      <c r="AA291" s="282"/>
      <c r="AB291" s="282"/>
      <c r="AC291" s="282"/>
      <c r="AD291" s="282"/>
      <c r="AE291" s="282"/>
      <c r="AF291" s="282"/>
      <c r="AG291" s="282"/>
      <c r="AH291" s="282"/>
      <c r="AI291" s="282"/>
      <c r="AJ291" s="282"/>
      <c r="AK291" s="282"/>
      <c r="AL291" s="282"/>
      <c r="AM291" s="282"/>
      <c r="AN291" s="282"/>
      <c r="AO291" s="282"/>
      <c r="AP291" s="282"/>
      <c r="AQ291" s="282"/>
      <c r="AR291" s="282"/>
      <c r="AS291" s="282"/>
      <c r="AT291" s="282"/>
      <c r="AU291" s="282"/>
      <c r="AV291" s="282"/>
      <c r="AW291" s="282"/>
      <c r="AX291" s="282"/>
      <c r="AY291" s="282"/>
      <c r="AZ291" s="282"/>
      <c r="BA291" s="59"/>
      <c r="BB291" s="59"/>
      <c r="BC291" s="59"/>
      <c r="BD291" s="59"/>
      <c r="BE291" s="59"/>
      <c r="BF291" s="59"/>
      <c r="BG291" s="59"/>
    </row>
    <row r="292" spans="1:59" ht="15.75" thickBot="1" x14ac:dyDescent="0.3">
      <c r="A292" s="59"/>
      <c r="B292" s="340" t="s">
        <v>363</v>
      </c>
      <c r="C292" s="340"/>
      <c r="D292" s="340"/>
      <c r="E292" s="218">
        <f t="shared" si="118"/>
        <v>-7.2759576141834259E-11</v>
      </c>
      <c r="F292" s="282"/>
      <c r="G292" s="282"/>
      <c r="H292" s="282"/>
      <c r="I292" s="282"/>
      <c r="J292" s="282"/>
      <c r="K292" s="282"/>
      <c r="L292" s="282"/>
      <c r="M292" s="282"/>
      <c r="N292" s="282"/>
      <c r="O292" s="282"/>
      <c r="P292" s="282"/>
      <c r="Q292" s="282"/>
      <c r="R292" s="282"/>
      <c r="S292" s="282"/>
      <c r="T292" s="282"/>
      <c r="U292" s="282"/>
      <c r="V292" s="282"/>
      <c r="W292" s="282"/>
      <c r="X292" s="282"/>
      <c r="Y292" s="282"/>
      <c r="Z292" s="282"/>
      <c r="AA292" s="282"/>
      <c r="AB292" s="282"/>
      <c r="AC292" s="282"/>
      <c r="AD292" s="282"/>
      <c r="AE292" s="282"/>
      <c r="AF292" s="282"/>
      <c r="AG292" s="282"/>
      <c r="AH292" s="282"/>
      <c r="AI292" s="282"/>
      <c r="AJ292" s="282"/>
      <c r="AK292" s="282"/>
      <c r="AL292" s="282"/>
      <c r="AM292" s="282"/>
      <c r="AN292" s="282"/>
      <c r="AO292" s="282"/>
      <c r="AP292" s="282"/>
      <c r="AQ292" s="282"/>
      <c r="AR292" s="282"/>
      <c r="AS292" s="282"/>
      <c r="AT292" s="282"/>
      <c r="AU292" s="282"/>
      <c r="AV292" s="282"/>
      <c r="AW292" s="282"/>
      <c r="AX292" s="282"/>
      <c r="AY292" s="282"/>
      <c r="AZ292" s="282"/>
      <c r="BA292" s="59"/>
      <c r="BB292" s="59"/>
      <c r="BC292" s="59"/>
      <c r="BD292" s="59"/>
      <c r="BE292" s="59"/>
      <c r="BF292" s="59"/>
      <c r="BG292" s="59"/>
    </row>
    <row r="293" spans="1:59" ht="15.75" thickBot="1" x14ac:dyDescent="0.3">
      <c r="A293" s="59"/>
      <c r="B293" s="340" t="s">
        <v>364</v>
      </c>
      <c r="C293" s="340"/>
      <c r="D293" s="340"/>
      <c r="E293" s="218">
        <f t="shared" si="118"/>
        <v>4.5474735088646412E-13</v>
      </c>
      <c r="F293" s="282"/>
      <c r="G293" s="282"/>
      <c r="H293" s="282"/>
      <c r="I293" s="282"/>
      <c r="J293" s="282"/>
      <c r="K293" s="282"/>
      <c r="L293" s="282"/>
      <c r="M293" s="282"/>
      <c r="N293" s="282"/>
      <c r="O293" s="282"/>
      <c r="P293" s="282"/>
      <c r="Q293" s="282"/>
      <c r="R293" s="282"/>
      <c r="S293" s="282"/>
      <c r="T293" s="282"/>
      <c r="U293" s="282"/>
      <c r="V293" s="282"/>
      <c r="W293" s="282"/>
      <c r="X293" s="282"/>
      <c r="Y293" s="282"/>
      <c r="Z293" s="282"/>
      <c r="AA293" s="282"/>
      <c r="AB293" s="282"/>
      <c r="AC293" s="282"/>
      <c r="AD293" s="282"/>
      <c r="AE293" s="282"/>
      <c r="AF293" s="282"/>
      <c r="AG293" s="282"/>
      <c r="AH293" s="282"/>
      <c r="AI293" s="282"/>
      <c r="AJ293" s="282"/>
      <c r="AK293" s="282"/>
      <c r="AL293" s="282"/>
      <c r="AM293" s="282"/>
      <c r="AN293" s="282"/>
      <c r="AO293" s="282"/>
      <c r="AP293" s="282"/>
      <c r="AQ293" s="282"/>
      <c r="AR293" s="282"/>
      <c r="AS293" s="282"/>
      <c r="AT293" s="282"/>
      <c r="AU293" s="282"/>
      <c r="AV293" s="282"/>
      <c r="AW293" s="282"/>
      <c r="AX293" s="282"/>
      <c r="AY293" s="282"/>
      <c r="AZ293" s="282"/>
      <c r="BA293" s="59"/>
      <c r="BB293" s="59"/>
      <c r="BC293" s="59"/>
      <c r="BD293" s="59"/>
      <c r="BE293" s="59"/>
      <c r="BF293" s="59"/>
      <c r="BG293" s="59"/>
    </row>
    <row r="294" spans="1:59" ht="15.75" thickBot="1" x14ac:dyDescent="0.3">
      <c r="A294" s="59"/>
      <c r="B294" s="340" t="s">
        <v>365</v>
      </c>
      <c r="C294" s="340"/>
      <c r="D294" s="340"/>
      <c r="E294" s="218">
        <f t="shared" si="118"/>
        <v>2.3283064365386963E-9</v>
      </c>
      <c r="F294" s="282"/>
      <c r="G294" s="282"/>
      <c r="H294" s="282"/>
      <c r="I294" s="282"/>
      <c r="J294" s="282"/>
      <c r="K294" s="282"/>
      <c r="L294" s="282"/>
      <c r="M294" s="282"/>
      <c r="N294" s="282"/>
      <c r="O294" s="282"/>
      <c r="P294" s="282"/>
      <c r="Q294" s="282"/>
      <c r="R294" s="282"/>
      <c r="S294" s="282"/>
      <c r="T294" s="282"/>
      <c r="U294" s="282"/>
      <c r="V294" s="282"/>
      <c r="W294" s="282"/>
      <c r="X294" s="282"/>
      <c r="Y294" s="282"/>
      <c r="Z294" s="282"/>
      <c r="AA294" s="282"/>
      <c r="AB294" s="282"/>
      <c r="AC294" s="282"/>
      <c r="AD294" s="282"/>
      <c r="AE294" s="282"/>
      <c r="AF294" s="282"/>
      <c r="AG294" s="282"/>
      <c r="AH294" s="282"/>
      <c r="AI294" s="282"/>
      <c r="AJ294" s="282"/>
      <c r="AK294" s="282"/>
      <c r="AL294" s="282"/>
      <c r="AM294" s="282"/>
      <c r="AN294" s="282"/>
      <c r="AO294" s="282"/>
      <c r="AP294" s="282"/>
      <c r="AQ294" s="282"/>
      <c r="AR294" s="282"/>
      <c r="AS294" s="282"/>
      <c r="AT294" s="282"/>
      <c r="AU294" s="282"/>
      <c r="AV294" s="282"/>
      <c r="AW294" s="282"/>
      <c r="AX294" s="282"/>
      <c r="AY294" s="282"/>
      <c r="AZ294" s="282"/>
      <c r="BA294" s="59"/>
      <c r="BB294" s="59"/>
      <c r="BC294" s="59"/>
      <c r="BD294" s="59"/>
      <c r="BE294" s="59"/>
      <c r="BF294" s="59"/>
      <c r="BG294" s="59"/>
    </row>
    <row r="295" spans="1:59" ht="15.75" thickBot="1" x14ac:dyDescent="0.3">
      <c r="A295" s="59"/>
      <c r="B295" s="340" t="s">
        <v>366</v>
      </c>
      <c r="C295" s="340"/>
      <c r="D295" s="340"/>
      <c r="E295" s="218">
        <f t="shared" si="118"/>
        <v>-1.862645149230957E-9</v>
      </c>
      <c r="F295" s="282"/>
      <c r="G295" s="282"/>
      <c r="H295" s="282"/>
      <c r="I295" s="282"/>
      <c r="J295" s="282"/>
      <c r="K295" s="282"/>
      <c r="L295" s="282"/>
      <c r="M295" s="282"/>
      <c r="N295" s="282"/>
      <c r="O295" s="282"/>
      <c r="P295" s="282"/>
      <c r="Q295" s="282"/>
      <c r="R295" s="282"/>
      <c r="S295" s="282"/>
      <c r="T295" s="282"/>
      <c r="U295" s="282"/>
      <c r="V295" s="282"/>
      <c r="W295" s="282"/>
      <c r="X295" s="282"/>
      <c r="Y295" s="282"/>
      <c r="Z295" s="282"/>
      <c r="AA295" s="282"/>
      <c r="AB295" s="282"/>
      <c r="AC295" s="282"/>
      <c r="AD295" s="282"/>
      <c r="AE295" s="282"/>
      <c r="AF295" s="282"/>
      <c r="AG295" s="282"/>
      <c r="AH295" s="282"/>
      <c r="AI295" s="282"/>
      <c r="AJ295" s="282"/>
      <c r="AK295" s="282"/>
      <c r="AL295" s="282"/>
      <c r="AM295" s="282"/>
      <c r="AN295" s="282"/>
      <c r="AO295" s="282"/>
      <c r="AP295" s="282"/>
      <c r="AQ295" s="282"/>
      <c r="AR295" s="282"/>
      <c r="AS295" s="282"/>
      <c r="AT295" s="282"/>
      <c r="AU295" s="282"/>
      <c r="AV295" s="282"/>
      <c r="AW295" s="282"/>
      <c r="AX295" s="282"/>
      <c r="AY295" s="282"/>
      <c r="AZ295" s="282"/>
      <c r="BA295" s="59"/>
      <c r="BB295" s="59"/>
      <c r="BC295" s="59"/>
      <c r="BD295" s="59"/>
      <c r="BE295" s="59"/>
      <c r="BF295" s="59"/>
      <c r="BG295" s="59"/>
    </row>
    <row r="296" spans="1:59" x14ac:dyDescent="0.25">
      <c r="A296" s="59"/>
      <c r="B296" s="282"/>
      <c r="C296" s="282"/>
      <c r="D296" s="282"/>
      <c r="E296" s="282"/>
      <c r="F296" s="282"/>
      <c r="G296" s="282"/>
      <c r="H296" s="282"/>
      <c r="I296" s="282"/>
      <c r="J296" s="282"/>
      <c r="K296" s="282"/>
      <c r="L296" s="282"/>
      <c r="M296" s="282"/>
      <c r="N296" s="282"/>
      <c r="O296" s="282"/>
      <c r="P296" s="282"/>
      <c r="Q296" s="282"/>
      <c r="R296" s="282"/>
      <c r="S296" s="282"/>
      <c r="T296" s="282"/>
      <c r="U296" s="282"/>
      <c r="V296" s="282"/>
      <c r="W296" s="282"/>
      <c r="X296" s="282"/>
      <c r="Y296" s="282"/>
      <c r="Z296" s="282"/>
      <c r="AA296" s="282"/>
      <c r="AB296" s="282"/>
      <c r="AC296" s="282"/>
      <c r="AD296" s="282"/>
      <c r="AE296" s="282"/>
      <c r="AF296" s="282"/>
      <c r="AG296" s="282"/>
      <c r="AH296" s="282"/>
      <c r="AI296" s="282"/>
      <c r="AJ296" s="282"/>
      <c r="AK296" s="282"/>
      <c r="AL296" s="282"/>
      <c r="AM296" s="282"/>
      <c r="AN296" s="282"/>
      <c r="AO296" s="282"/>
      <c r="AP296" s="282"/>
      <c r="AQ296" s="282"/>
      <c r="AR296" s="282"/>
      <c r="AS296" s="282"/>
      <c r="AT296" s="282"/>
      <c r="AU296" s="282"/>
      <c r="AV296" s="282"/>
      <c r="AW296" s="282"/>
      <c r="AX296" s="282"/>
      <c r="AY296" s="282"/>
      <c r="AZ296" s="282"/>
      <c r="BA296" s="59"/>
      <c r="BB296" s="59"/>
      <c r="BC296" s="59"/>
      <c r="BD296" s="59"/>
      <c r="BE296" s="59"/>
      <c r="BF296" s="59"/>
      <c r="BG296" s="59"/>
    </row>
    <row r="297" spans="1:59" x14ac:dyDescent="0.25">
      <c r="A297" s="59"/>
      <c r="B297" s="282"/>
      <c r="C297" s="282"/>
      <c r="D297" s="282"/>
      <c r="E297" s="282"/>
      <c r="F297" s="282"/>
      <c r="G297" s="282"/>
      <c r="H297" s="282"/>
      <c r="I297" s="282"/>
      <c r="J297" s="282"/>
      <c r="K297" s="282"/>
      <c r="L297" s="282"/>
      <c r="M297" s="282"/>
      <c r="N297" s="282"/>
      <c r="O297" s="282"/>
      <c r="P297" s="282"/>
      <c r="Q297" s="282"/>
      <c r="R297" s="282"/>
      <c r="S297" s="282"/>
      <c r="T297" s="282"/>
      <c r="U297" s="282"/>
      <c r="V297" s="282"/>
      <c r="W297" s="282"/>
      <c r="X297" s="282"/>
      <c r="Y297" s="282"/>
      <c r="Z297" s="282"/>
      <c r="AA297" s="282"/>
      <c r="AB297" s="282"/>
      <c r="AC297" s="282"/>
      <c r="AD297" s="282"/>
      <c r="AE297" s="282"/>
      <c r="AF297" s="282"/>
      <c r="AG297" s="282"/>
      <c r="AH297" s="282"/>
      <c r="AI297" s="282"/>
      <c r="AJ297" s="282"/>
      <c r="AK297" s="282"/>
      <c r="AL297" s="282"/>
      <c r="AM297" s="282"/>
      <c r="AN297" s="282"/>
      <c r="AO297" s="282"/>
      <c r="AP297" s="282"/>
      <c r="AQ297" s="282"/>
      <c r="AR297" s="282"/>
      <c r="AS297" s="282"/>
      <c r="AT297" s="282"/>
      <c r="AU297" s="282"/>
      <c r="AV297" s="282"/>
      <c r="AW297" s="282"/>
      <c r="AX297" s="282"/>
      <c r="AY297" s="282"/>
      <c r="AZ297" s="282"/>
      <c r="BA297" s="59"/>
      <c r="BB297" s="59"/>
      <c r="BC297" s="59"/>
      <c r="BD297" s="59"/>
      <c r="BE297" s="59"/>
      <c r="BF297" s="59"/>
      <c r="BG297" s="59"/>
    </row>
    <row r="298" spans="1:59" x14ac:dyDescent="0.25">
      <c r="A298" s="59"/>
      <c r="B298" s="282"/>
      <c r="C298" s="282"/>
      <c r="D298" s="282"/>
      <c r="E298" s="282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82"/>
      <c r="Q298" s="282"/>
      <c r="R298" s="282"/>
      <c r="S298" s="282"/>
      <c r="T298" s="282"/>
      <c r="U298" s="282"/>
      <c r="V298" s="282"/>
      <c r="W298" s="282"/>
      <c r="X298" s="282"/>
      <c r="Y298" s="282"/>
      <c r="Z298" s="282"/>
      <c r="AA298" s="282"/>
      <c r="AB298" s="282"/>
      <c r="AC298" s="282"/>
      <c r="AD298" s="282"/>
      <c r="AE298" s="282"/>
      <c r="AF298" s="282"/>
      <c r="AG298" s="282"/>
      <c r="AH298" s="282"/>
      <c r="AI298" s="282"/>
      <c r="AJ298" s="282"/>
      <c r="AK298" s="282"/>
      <c r="AL298" s="282"/>
      <c r="AM298" s="282"/>
      <c r="AN298" s="282"/>
      <c r="AO298" s="282"/>
      <c r="AP298" s="282"/>
      <c r="AQ298" s="282"/>
      <c r="AR298" s="282"/>
      <c r="AS298" s="282"/>
      <c r="AT298" s="282"/>
      <c r="AU298" s="282"/>
      <c r="AV298" s="282"/>
      <c r="AW298" s="282"/>
      <c r="AX298" s="282"/>
      <c r="AY298" s="282"/>
      <c r="AZ298" s="282"/>
      <c r="BA298" s="59"/>
      <c r="BB298" s="59"/>
      <c r="BC298" s="59"/>
      <c r="BD298" s="59"/>
      <c r="BE298" s="59"/>
      <c r="BF298" s="59"/>
      <c r="BG298" s="59"/>
    </row>
    <row r="299" spans="1:59" x14ac:dyDescent="0.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</row>
    <row r="300" spans="1:59" x14ac:dyDescent="0.25">
      <c r="A300" s="59"/>
      <c r="B300" s="282"/>
      <c r="C300" s="282"/>
      <c r="D300" s="282"/>
      <c r="E300" s="282"/>
      <c r="F300" s="282"/>
      <c r="G300" s="282"/>
      <c r="H300" s="282"/>
      <c r="I300" s="282"/>
      <c r="J300" s="282"/>
      <c r="K300" s="282"/>
      <c r="L300" s="282"/>
      <c r="M300" s="282"/>
      <c r="N300" s="282"/>
      <c r="O300" s="282"/>
      <c r="P300" s="282"/>
      <c r="Q300" s="282"/>
      <c r="R300" s="282"/>
      <c r="S300" s="282"/>
      <c r="T300" s="282"/>
      <c r="U300" s="282"/>
      <c r="V300" s="282"/>
      <c r="W300" s="282"/>
      <c r="X300" s="282"/>
      <c r="Y300" s="282"/>
      <c r="Z300" s="282"/>
      <c r="AA300" s="282"/>
      <c r="AB300" s="282"/>
      <c r="AC300" s="282"/>
      <c r="AD300" s="282"/>
      <c r="AE300" s="282"/>
      <c r="AF300" s="282"/>
      <c r="AG300" s="282"/>
      <c r="AH300" s="282"/>
      <c r="AI300" s="282"/>
      <c r="AJ300" s="282"/>
      <c r="AK300" s="282"/>
      <c r="AL300" s="282"/>
      <c r="AM300" s="282"/>
      <c r="AN300" s="282"/>
      <c r="AO300" s="282"/>
      <c r="AP300" s="282"/>
      <c r="AQ300" s="282"/>
      <c r="AR300" s="282"/>
      <c r="AS300" s="282"/>
      <c r="AT300" s="282"/>
      <c r="AU300" s="282"/>
      <c r="AV300" s="282"/>
      <c r="AW300" s="282"/>
      <c r="AX300" s="282"/>
      <c r="AY300" s="282"/>
      <c r="AZ300" s="282"/>
      <c r="BA300" s="59"/>
      <c r="BB300" s="59"/>
      <c r="BC300" s="59"/>
      <c r="BD300" s="59"/>
      <c r="BE300" s="59"/>
      <c r="BF300" s="59"/>
      <c r="BG300" s="59"/>
    </row>
    <row r="301" spans="1:59" x14ac:dyDescent="0.25">
      <c r="A301" s="59"/>
      <c r="B301" s="282"/>
      <c r="C301" s="282"/>
      <c r="D301" s="282"/>
      <c r="E301" s="282"/>
      <c r="F301" s="282"/>
      <c r="G301" s="282"/>
      <c r="H301" s="282"/>
      <c r="I301" s="282"/>
      <c r="J301" s="282"/>
      <c r="K301" s="282"/>
      <c r="L301" s="282"/>
      <c r="M301" s="282"/>
      <c r="N301" s="282"/>
      <c r="O301" s="282"/>
      <c r="P301" s="282"/>
      <c r="Q301" s="282"/>
      <c r="R301" s="282"/>
      <c r="S301" s="282"/>
      <c r="T301" s="282"/>
      <c r="U301" s="282"/>
      <c r="V301" s="282"/>
      <c r="W301" s="282"/>
      <c r="X301" s="282"/>
      <c r="Y301" s="282"/>
      <c r="Z301" s="282"/>
      <c r="AA301" s="282"/>
      <c r="AB301" s="282"/>
      <c r="AC301" s="282"/>
      <c r="AD301" s="282"/>
      <c r="AE301" s="282"/>
      <c r="AF301" s="282"/>
      <c r="AG301" s="282"/>
      <c r="AH301" s="282"/>
      <c r="AI301" s="282"/>
      <c r="AJ301" s="282"/>
      <c r="AK301" s="282"/>
      <c r="AL301" s="282"/>
      <c r="AM301" s="282"/>
      <c r="AN301" s="282"/>
      <c r="AO301" s="282"/>
      <c r="AP301" s="282"/>
      <c r="AQ301" s="282"/>
      <c r="AR301" s="282"/>
      <c r="AS301" s="282"/>
      <c r="AT301" s="282"/>
      <c r="AU301" s="282"/>
      <c r="AV301" s="282"/>
      <c r="AW301" s="282"/>
      <c r="AX301" s="282"/>
      <c r="AY301" s="282"/>
      <c r="AZ301" s="282"/>
      <c r="BA301" s="59"/>
      <c r="BB301" s="59"/>
      <c r="BC301" s="59"/>
      <c r="BD301" s="59"/>
      <c r="BE301" s="59"/>
      <c r="BF301" s="59"/>
      <c r="BG301" s="59"/>
    </row>
    <row r="302" spans="1:59" x14ac:dyDescent="0.25">
      <c r="A302" s="59"/>
      <c r="B302" s="282"/>
      <c r="C302" s="282"/>
      <c r="D302" s="282"/>
      <c r="E302" s="282"/>
      <c r="F302" s="282"/>
      <c r="G302" s="282"/>
      <c r="H302" s="282"/>
      <c r="I302" s="282"/>
      <c r="J302" s="282"/>
      <c r="K302" s="282"/>
      <c r="L302" s="282"/>
      <c r="M302" s="282"/>
      <c r="N302" s="282"/>
      <c r="O302" s="282"/>
      <c r="P302" s="282"/>
      <c r="Q302" s="282"/>
      <c r="R302" s="282"/>
      <c r="S302" s="282"/>
      <c r="T302" s="282"/>
      <c r="U302" s="282"/>
      <c r="V302" s="282"/>
      <c r="W302" s="282"/>
      <c r="X302" s="282"/>
      <c r="Y302" s="282"/>
      <c r="Z302" s="282"/>
      <c r="AA302" s="282"/>
      <c r="AB302" s="282"/>
      <c r="AC302" s="282"/>
      <c r="AD302" s="282"/>
      <c r="AE302" s="282"/>
      <c r="AF302" s="282"/>
      <c r="AG302" s="282"/>
      <c r="AH302" s="282"/>
      <c r="AI302" s="282"/>
      <c r="AJ302" s="282"/>
      <c r="AK302" s="282"/>
      <c r="AL302" s="282"/>
      <c r="AM302" s="282"/>
      <c r="AN302" s="282"/>
      <c r="AO302" s="282"/>
      <c r="AP302" s="282"/>
      <c r="AQ302" s="282"/>
      <c r="AR302" s="282"/>
      <c r="AS302" s="282"/>
      <c r="AT302" s="282"/>
      <c r="AU302" s="282"/>
      <c r="AV302" s="282"/>
      <c r="AW302" s="282"/>
      <c r="AX302" s="282"/>
      <c r="AY302" s="282"/>
      <c r="AZ302" s="282"/>
      <c r="BA302" s="59"/>
      <c r="BB302" s="59"/>
      <c r="BC302" s="59"/>
      <c r="BD302" s="59"/>
      <c r="BE302" s="59"/>
      <c r="BF302" s="59"/>
      <c r="BG302" s="59"/>
    </row>
    <row r="303" spans="1:59" x14ac:dyDescent="0.25">
      <c r="A303" s="59"/>
      <c r="B303" s="282"/>
      <c r="C303" s="282"/>
      <c r="D303" s="282"/>
      <c r="E303" s="282"/>
      <c r="F303" s="282"/>
      <c r="G303" s="282"/>
      <c r="H303" s="282"/>
      <c r="I303" s="282"/>
      <c r="J303" s="282"/>
      <c r="K303" s="282"/>
      <c r="L303" s="282"/>
      <c r="M303" s="282"/>
      <c r="N303" s="282"/>
      <c r="O303" s="282"/>
      <c r="P303" s="282"/>
      <c r="Q303" s="282"/>
      <c r="R303" s="282"/>
      <c r="S303" s="282"/>
      <c r="T303" s="282"/>
      <c r="U303" s="282"/>
      <c r="V303" s="282"/>
      <c r="W303" s="282"/>
      <c r="X303" s="282"/>
      <c r="Y303" s="282"/>
      <c r="Z303" s="282"/>
      <c r="AA303" s="282"/>
      <c r="AB303" s="282"/>
      <c r="AC303" s="282"/>
      <c r="AD303" s="282"/>
      <c r="AE303" s="282"/>
      <c r="AF303" s="282"/>
      <c r="AG303" s="282"/>
      <c r="AH303" s="282"/>
      <c r="AI303" s="282"/>
      <c r="AJ303" s="282"/>
      <c r="AK303" s="282"/>
      <c r="AL303" s="282"/>
      <c r="AM303" s="282"/>
      <c r="AN303" s="282"/>
      <c r="AO303" s="282"/>
      <c r="AP303" s="282"/>
      <c r="AQ303" s="282"/>
      <c r="AR303" s="282"/>
      <c r="AS303" s="282"/>
      <c r="AT303" s="282"/>
      <c r="AU303" s="282"/>
      <c r="AV303" s="282"/>
      <c r="AW303" s="282"/>
      <c r="AX303" s="282"/>
      <c r="AY303" s="282"/>
      <c r="AZ303" s="282"/>
      <c r="BA303" s="59"/>
      <c r="BB303" s="59"/>
      <c r="BC303" s="59"/>
      <c r="BD303" s="59"/>
      <c r="BE303" s="59"/>
      <c r="BF303" s="59"/>
      <c r="BG303" s="59"/>
    </row>
    <row r="304" spans="1:59" x14ac:dyDescent="0.25">
      <c r="A304" s="59"/>
      <c r="B304" s="282"/>
      <c r="C304" s="282"/>
      <c r="D304" s="282"/>
      <c r="E304" s="282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82"/>
      <c r="Q304" s="282"/>
      <c r="R304" s="282"/>
      <c r="S304" s="282"/>
      <c r="T304" s="282"/>
      <c r="U304" s="282"/>
      <c r="V304" s="282"/>
      <c r="W304" s="282"/>
      <c r="X304" s="282"/>
      <c r="Y304" s="282"/>
      <c r="Z304" s="282"/>
      <c r="AA304" s="282"/>
      <c r="AB304" s="282"/>
      <c r="AC304" s="282"/>
      <c r="AD304" s="282"/>
      <c r="AE304" s="282"/>
      <c r="AF304" s="282"/>
      <c r="AG304" s="282"/>
      <c r="AH304" s="282"/>
      <c r="AI304" s="282"/>
      <c r="AJ304" s="282"/>
      <c r="AK304" s="282"/>
      <c r="AL304" s="282"/>
      <c r="AM304" s="282"/>
      <c r="AN304" s="282"/>
      <c r="AO304" s="282"/>
      <c r="AP304" s="282"/>
      <c r="AQ304" s="282"/>
      <c r="AR304" s="282"/>
      <c r="AS304" s="282"/>
      <c r="AT304" s="282"/>
      <c r="AU304" s="282"/>
      <c r="AV304" s="282"/>
      <c r="AW304" s="282"/>
      <c r="AX304" s="282"/>
      <c r="AY304" s="282"/>
      <c r="AZ304" s="282"/>
      <c r="BA304" s="59"/>
      <c r="BB304" s="59"/>
      <c r="BC304" s="59"/>
      <c r="BD304" s="59"/>
      <c r="BE304" s="59"/>
      <c r="BF304" s="59"/>
      <c r="BG304" s="59"/>
    </row>
    <row r="305" spans="1:59" x14ac:dyDescent="0.25">
      <c r="A305" s="59"/>
      <c r="B305" s="282"/>
      <c r="C305" s="282"/>
      <c r="D305" s="282"/>
      <c r="E305" s="282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82"/>
      <c r="Q305" s="282"/>
      <c r="R305" s="282"/>
      <c r="S305" s="282"/>
      <c r="T305" s="282"/>
      <c r="U305" s="282"/>
      <c r="V305" s="282"/>
      <c r="W305" s="282"/>
      <c r="X305" s="282"/>
      <c r="Y305" s="282"/>
      <c r="Z305" s="282"/>
      <c r="AA305" s="282"/>
      <c r="AB305" s="282"/>
      <c r="AC305" s="282"/>
      <c r="AD305" s="282"/>
      <c r="AE305" s="282"/>
      <c r="AF305" s="282"/>
      <c r="AG305" s="282"/>
      <c r="AH305" s="282"/>
      <c r="AI305" s="282"/>
      <c r="AJ305" s="282"/>
      <c r="AK305" s="282"/>
      <c r="AL305" s="282"/>
      <c r="AM305" s="282"/>
      <c r="AN305" s="282"/>
      <c r="AO305" s="282"/>
      <c r="AP305" s="282"/>
      <c r="AQ305" s="282"/>
      <c r="AR305" s="282"/>
      <c r="AS305" s="282"/>
      <c r="AT305" s="282"/>
      <c r="AU305" s="282"/>
      <c r="AV305" s="282"/>
      <c r="AW305" s="282"/>
      <c r="AX305" s="282"/>
      <c r="AY305" s="282"/>
      <c r="AZ305" s="282"/>
      <c r="BA305" s="59"/>
      <c r="BB305" s="59"/>
      <c r="BC305" s="59"/>
      <c r="BD305" s="59"/>
      <c r="BE305" s="59"/>
      <c r="BF305" s="59"/>
      <c r="BG305" s="59"/>
    </row>
    <row r="306" spans="1:59" x14ac:dyDescent="0.25">
      <c r="A306" s="59"/>
      <c r="B306" s="282"/>
      <c r="C306" s="282"/>
      <c r="D306" s="282"/>
      <c r="E306" s="282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82"/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  <c r="AA306" s="282"/>
      <c r="AB306" s="282"/>
      <c r="AC306" s="282"/>
      <c r="AD306" s="282"/>
      <c r="AE306" s="282"/>
      <c r="AF306" s="282"/>
      <c r="AG306" s="282"/>
      <c r="AH306" s="282"/>
      <c r="AI306" s="282"/>
      <c r="AJ306" s="282"/>
      <c r="AK306" s="282"/>
      <c r="AL306" s="282"/>
      <c r="AM306" s="282"/>
      <c r="AN306" s="282"/>
      <c r="AO306" s="282"/>
      <c r="AP306" s="282"/>
      <c r="AQ306" s="282"/>
      <c r="AR306" s="282"/>
      <c r="AS306" s="282"/>
      <c r="AT306" s="282"/>
      <c r="AU306" s="282"/>
      <c r="AV306" s="282"/>
      <c r="AW306" s="282"/>
      <c r="AX306" s="282"/>
      <c r="AY306" s="282"/>
      <c r="AZ306" s="282"/>
      <c r="BA306" s="59"/>
      <c r="BB306" s="59"/>
      <c r="BC306" s="59"/>
      <c r="BD306" s="59"/>
      <c r="BE306" s="59"/>
      <c r="BF306" s="59"/>
      <c r="BG306" s="59"/>
    </row>
    <row r="307" spans="1:59" x14ac:dyDescent="0.25">
      <c r="A307" s="59"/>
      <c r="B307" s="282"/>
      <c r="C307" s="282"/>
      <c r="D307" s="282"/>
      <c r="E307" s="282"/>
      <c r="F307" s="282"/>
      <c r="G307" s="282"/>
      <c r="H307" s="282"/>
      <c r="I307" s="282"/>
      <c r="J307" s="282"/>
      <c r="K307" s="282"/>
      <c r="L307" s="282"/>
      <c r="M307" s="282"/>
      <c r="N307" s="282"/>
      <c r="O307" s="282"/>
      <c r="P307" s="282"/>
      <c r="Q307" s="282"/>
      <c r="R307" s="282"/>
      <c r="S307" s="282"/>
      <c r="T307" s="282"/>
      <c r="U307" s="282"/>
      <c r="V307" s="282"/>
      <c r="W307" s="282"/>
      <c r="X307" s="282"/>
      <c r="Y307" s="282"/>
      <c r="Z307" s="282"/>
      <c r="AA307" s="282"/>
      <c r="AB307" s="282"/>
      <c r="AC307" s="282"/>
      <c r="AD307" s="282"/>
      <c r="AE307" s="282"/>
      <c r="AF307" s="282"/>
      <c r="AG307" s="282"/>
      <c r="AH307" s="282"/>
      <c r="AI307" s="282"/>
      <c r="AJ307" s="282"/>
      <c r="AK307" s="282"/>
      <c r="AL307" s="282"/>
      <c r="AM307" s="282"/>
      <c r="AN307" s="282"/>
      <c r="AO307" s="282"/>
      <c r="AP307" s="282"/>
      <c r="AQ307" s="282"/>
      <c r="AR307" s="282"/>
      <c r="AS307" s="282"/>
      <c r="AT307" s="282"/>
      <c r="AU307" s="282"/>
      <c r="AV307" s="282"/>
      <c r="AW307" s="282"/>
      <c r="AX307" s="282"/>
      <c r="AY307" s="282"/>
      <c r="AZ307" s="282"/>
      <c r="BA307" s="59"/>
      <c r="BB307" s="59"/>
      <c r="BC307" s="59"/>
      <c r="BD307" s="59"/>
      <c r="BE307" s="59"/>
      <c r="BF307" s="59"/>
      <c r="BG307" s="59"/>
    </row>
    <row r="308" spans="1:59" x14ac:dyDescent="0.25">
      <c r="A308" s="59"/>
      <c r="B308" s="282"/>
      <c r="C308" s="282"/>
      <c r="D308" s="282"/>
      <c r="E308" s="282"/>
      <c r="F308" s="282"/>
      <c r="G308" s="282"/>
      <c r="H308" s="282"/>
      <c r="I308" s="282"/>
      <c r="J308" s="282"/>
      <c r="K308" s="282"/>
      <c r="L308" s="282"/>
      <c r="M308" s="282"/>
      <c r="N308" s="282"/>
      <c r="O308" s="282"/>
      <c r="P308" s="282"/>
      <c r="Q308" s="282"/>
      <c r="R308" s="282"/>
      <c r="S308" s="282"/>
      <c r="T308" s="282"/>
      <c r="U308" s="282"/>
      <c r="V308" s="282"/>
      <c r="W308" s="282"/>
      <c r="X308" s="282"/>
      <c r="Y308" s="282"/>
      <c r="Z308" s="282"/>
      <c r="AA308" s="282"/>
      <c r="AB308" s="282"/>
      <c r="AC308" s="282"/>
      <c r="AD308" s="282"/>
      <c r="AE308" s="282"/>
      <c r="AF308" s="282"/>
      <c r="AG308" s="282"/>
      <c r="AH308" s="282"/>
      <c r="AI308" s="282"/>
      <c r="AJ308" s="282"/>
      <c r="AK308" s="282"/>
      <c r="AL308" s="282"/>
      <c r="AM308" s="282"/>
      <c r="AN308" s="282"/>
      <c r="AO308" s="282"/>
      <c r="AP308" s="282"/>
      <c r="AQ308" s="282"/>
      <c r="AR308" s="282"/>
      <c r="AS308" s="282"/>
      <c r="AT308" s="282"/>
      <c r="AU308" s="282"/>
      <c r="AV308" s="282"/>
      <c r="AW308" s="282"/>
      <c r="AX308" s="282"/>
      <c r="AY308" s="282"/>
      <c r="AZ308" s="282"/>
      <c r="BA308" s="59"/>
      <c r="BB308" s="59"/>
      <c r="BC308" s="59"/>
      <c r="BD308" s="59"/>
      <c r="BE308" s="59"/>
      <c r="BF308" s="59"/>
      <c r="BG308" s="59"/>
    </row>
    <row r="309" spans="1:59" x14ac:dyDescent="0.25">
      <c r="A309" s="59"/>
      <c r="B309" s="282"/>
      <c r="C309" s="282"/>
      <c r="D309" s="282"/>
      <c r="E309" s="282"/>
      <c r="F309" s="282"/>
      <c r="G309" s="282"/>
      <c r="H309" s="282"/>
      <c r="I309" s="282"/>
      <c r="J309" s="282"/>
      <c r="K309" s="282"/>
      <c r="L309" s="282"/>
      <c r="M309" s="282"/>
      <c r="N309" s="282"/>
      <c r="O309" s="282"/>
      <c r="P309" s="282"/>
      <c r="Q309" s="282"/>
      <c r="R309" s="282"/>
      <c r="S309" s="282"/>
      <c r="T309" s="282"/>
      <c r="U309" s="282"/>
      <c r="V309" s="282"/>
      <c r="W309" s="282"/>
      <c r="X309" s="282"/>
      <c r="Y309" s="282"/>
      <c r="Z309" s="282"/>
      <c r="AA309" s="282"/>
      <c r="AB309" s="282"/>
      <c r="AC309" s="282"/>
      <c r="AD309" s="282"/>
      <c r="AE309" s="282"/>
      <c r="AF309" s="282"/>
      <c r="AG309" s="282"/>
      <c r="AH309" s="282"/>
      <c r="AI309" s="282"/>
      <c r="AJ309" s="282"/>
      <c r="AK309" s="282"/>
      <c r="AL309" s="282"/>
      <c r="AM309" s="282"/>
      <c r="AN309" s="282"/>
      <c r="AO309" s="282"/>
      <c r="AP309" s="282"/>
      <c r="AQ309" s="282"/>
      <c r="AR309" s="282"/>
      <c r="AS309" s="282"/>
      <c r="AT309" s="282"/>
      <c r="AU309" s="282"/>
      <c r="AV309" s="282"/>
      <c r="AW309" s="282"/>
      <c r="AX309" s="282"/>
      <c r="AY309" s="282"/>
      <c r="AZ309" s="282"/>
      <c r="BA309" s="59"/>
      <c r="BB309" s="59"/>
      <c r="BC309" s="59"/>
      <c r="BD309" s="59"/>
      <c r="BE309" s="59"/>
      <c r="BF309" s="59"/>
      <c r="BG309" s="59"/>
    </row>
    <row r="310" spans="1:59" x14ac:dyDescent="0.25">
      <c r="A310" s="59"/>
      <c r="B310" s="282"/>
      <c r="C310" s="282"/>
      <c r="D310" s="282"/>
      <c r="E310" s="282"/>
      <c r="F310" s="282"/>
      <c r="G310" s="282"/>
      <c r="H310" s="282"/>
      <c r="I310" s="282"/>
      <c r="J310" s="282"/>
      <c r="K310" s="282"/>
      <c r="L310" s="282"/>
      <c r="M310" s="282"/>
      <c r="N310" s="282"/>
      <c r="O310" s="282"/>
      <c r="P310" s="282"/>
      <c r="Q310" s="282"/>
      <c r="R310" s="282"/>
      <c r="S310" s="282"/>
      <c r="T310" s="282"/>
      <c r="U310" s="282"/>
      <c r="V310" s="282"/>
      <c r="W310" s="282"/>
      <c r="X310" s="282"/>
      <c r="Y310" s="282"/>
      <c r="Z310" s="282"/>
      <c r="AA310" s="282"/>
      <c r="AB310" s="282"/>
      <c r="AC310" s="282"/>
      <c r="AD310" s="282"/>
      <c r="AE310" s="282"/>
      <c r="AF310" s="282"/>
      <c r="AG310" s="282"/>
      <c r="AH310" s="282"/>
      <c r="AI310" s="282"/>
      <c r="AJ310" s="282"/>
      <c r="AK310" s="282"/>
      <c r="AL310" s="282"/>
      <c r="AM310" s="282"/>
      <c r="AN310" s="282"/>
      <c r="AO310" s="282"/>
      <c r="AP310" s="282"/>
      <c r="AQ310" s="282"/>
      <c r="AR310" s="282"/>
      <c r="AS310" s="282"/>
      <c r="AT310" s="282"/>
      <c r="AU310" s="282"/>
      <c r="AV310" s="282"/>
      <c r="AW310" s="282"/>
      <c r="AX310" s="282"/>
      <c r="AY310" s="282"/>
      <c r="AZ310" s="282"/>
      <c r="BA310" s="59"/>
      <c r="BB310" s="59"/>
      <c r="BC310" s="59"/>
      <c r="BD310" s="59"/>
      <c r="BE310" s="59"/>
      <c r="BF310" s="59"/>
      <c r="BG310" s="59"/>
    </row>
    <row r="311" spans="1:59" x14ac:dyDescent="0.25">
      <c r="A311" s="59"/>
      <c r="B311" s="282"/>
      <c r="C311" s="282"/>
      <c r="D311" s="282"/>
      <c r="E311" s="282"/>
      <c r="F311" s="282"/>
      <c r="G311" s="282"/>
      <c r="H311" s="282"/>
      <c r="I311" s="282"/>
      <c r="J311" s="282"/>
      <c r="K311" s="282"/>
      <c r="L311" s="282"/>
      <c r="M311" s="282"/>
      <c r="N311" s="282"/>
      <c r="O311" s="282"/>
      <c r="P311" s="282"/>
      <c r="Q311" s="282"/>
      <c r="R311" s="282"/>
      <c r="S311" s="282"/>
      <c r="T311" s="282"/>
      <c r="U311" s="282"/>
      <c r="V311" s="282"/>
      <c r="W311" s="282"/>
      <c r="X311" s="282"/>
      <c r="Y311" s="282"/>
      <c r="Z311" s="282"/>
      <c r="AA311" s="282"/>
      <c r="AB311" s="282"/>
      <c r="AC311" s="282"/>
      <c r="AD311" s="282"/>
      <c r="AE311" s="282"/>
      <c r="AF311" s="282"/>
      <c r="AG311" s="282"/>
      <c r="AH311" s="282"/>
      <c r="AI311" s="282"/>
      <c r="AJ311" s="282"/>
      <c r="AK311" s="282"/>
      <c r="AL311" s="282"/>
      <c r="AM311" s="282"/>
      <c r="AN311" s="282"/>
      <c r="AO311" s="282"/>
      <c r="AP311" s="282"/>
      <c r="AQ311" s="282"/>
      <c r="AR311" s="282"/>
      <c r="AS311" s="282"/>
      <c r="AT311" s="282"/>
      <c r="AU311" s="282"/>
      <c r="AV311" s="282"/>
      <c r="AW311" s="282"/>
      <c r="AX311" s="282"/>
      <c r="AY311" s="282"/>
      <c r="AZ311" s="282"/>
      <c r="BA311" s="59"/>
      <c r="BB311" s="59"/>
      <c r="BC311" s="59"/>
      <c r="BD311" s="59"/>
      <c r="BE311" s="59"/>
      <c r="BF311" s="59"/>
      <c r="BG311" s="59"/>
    </row>
    <row r="312" spans="1:59" x14ac:dyDescent="0.25">
      <c r="A312" s="59"/>
      <c r="B312" s="282"/>
      <c r="C312" s="282"/>
      <c r="D312" s="282"/>
      <c r="E312" s="282"/>
      <c r="F312" s="282"/>
      <c r="G312" s="282"/>
      <c r="H312" s="282"/>
      <c r="I312" s="282"/>
      <c r="J312" s="282"/>
      <c r="K312" s="282"/>
      <c r="L312" s="282"/>
      <c r="M312" s="282"/>
      <c r="N312" s="282"/>
      <c r="O312" s="282"/>
      <c r="P312" s="282"/>
      <c r="Q312" s="282"/>
      <c r="R312" s="282"/>
      <c r="S312" s="282"/>
      <c r="T312" s="282"/>
      <c r="U312" s="282"/>
      <c r="V312" s="282"/>
      <c r="W312" s="282"/>
      <c r="X312" s="282"/>
      <c r="Y312" s="282"/>
      <c r="Z312" s="282"/>
      <c r="AA312" s="282"/>
      <c r="AB312" s="282"/>
      <c r="AC312" s="282"/>
      <c r="AD312" s="282"/>
      <c r="AE312" s="282"/>
      <c r="AF312" s="282"/>
      <c r="AG312" s="282"/>
      <c r="AH312" s="282"/>
      <c r="AI312" s="282"/>
      <c r="AJ312" s="282"/>
      <c r="AK312" s="282"/>
      <c r="AL312" s="282"/>
      <c r="AM312" s="282"/>
      <c r="AN312" s="282"/>
      <c r="AO312" s="282"/>
      <c r="AP312" s="282"/>
      <c r="AQ312" s="282"/>
      <c r="AR312" s="282"/>
      <c r="AS312" s="282"/>
      <c r="AT312" s="282"/>
      <c r="AU312" s="282"/>
      <c r="AV312" s="282"/>
      <c r="AW312" s="282"/>
      <c r="AX312" s="282"/>
      <c r="AY312" s="282"/>
      <c r="AZ312" s="282"/>
      <c r="BA312" s="59"/>
      <c r="BB312" s="59"/>
      <c r="BC312" s="59"/>
      <c r="BD312" s="59"/>
      <c r="BE312" s="59"/>
      <c r="BF312" s="59"/>
      <c r="BG312" s="59"/>
    </row>
    <row r="313" spans="1:59" x14ac:dyDescent="0.25">
      <c r="A313" s="59"/>
      <c r="B313" s="282"/>
      <c r="C313" s="282"/>
      <c r="D313" s="282"/>
      <c r="E313" s="282"/>
      <c r="F313" s="282"/>
      <c r="G313" s="282"/>
      <c r="H313" s="282"/>
      <c r="I313" s="282"/>
      <c r="J313" s="282"/>
      <c r="K313" s="282"/>
      <c r="L313" s="282"/>
      <c r="M313" s="282"/>
      <c r="N313" s="282"/>
      <c r="O313" s="282"/>
      <c r="P313" s="282"/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  <c r="AC313" s="282"/>
      <c r="AD313" s="282"/>
      <c r="AE313" s="282"/>
      <c r="AF313" s="282"/>
      <c r="AG313" s="282"/>
      <c r="AH313" s="282"/>
      <c r="AI313" s="282"/>
      <c r="AJ313" s="282"/>
      <c r="AK313" s="282"/>
      <c r="AL313" s="282"/>
      <c r="AM313" s="282"/>
      <c r="AN313" s="282"/>
      <c r="AO313" s="282"/>
      <c r="AP313" s="282"/>
      <c r="AQ313" s="282"/>
      <c r="AR313" s="282"/>
      <c r="AS313" s="282"/>
      <c r="AT313" s="282"/>
      <c r="AU313" s="282"/>
      <c r="AV313" s="282"/>
      <c r="AW313" s="282"/>
      <c r="AX313" s="282"/>
      <c r="AY313" s="282"/>
      <c r="AZ313" s="282"/>
      <c r="BA313" s="59"/>
      <c r="BB313" s="59"/>
      <c r="BC313" s="59"/>
      <c r="BD313" s="59"/>
      <c r="BE313" s="59"/>
      <c r="BF313" s="59"/>
      <c r="BG313" s="59"/>
    </row>
    <row r="314" spans="1:59" x14ac:dyDescent="0.25">
      <c r="A314" s="59"/>
      <c r="B314" s="282"/>
      <c r="C314" s="282"/>
      <c r="D314" s="282"/>
      <c r="E314" s="282"/>
      <c r="F314" s="282"/>
      <c r="G314" s="282"/>
      <c r="H314" s="282"/>
      <c r="I314" s="282"/>
      <c r="J314" s="282"/>
      <c r="K314" s="282"/>
      <c r="L314" s="282"/>
      <c r="M314" s="282"/>
      <c r="N314" s="282"/>
      <c r="O314" s="282"/>
      <c r="P314" s="282"/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  <c r="AC314" s="282"/>
      <c r="AD314" s="282"/>
      <c r="AE314" s="282"/>
      <c r="AF314" s="282"/>
      <c r="AG314" s="282"/>
      <c r="AH314" s="282"/>
      <c r="AI314" s="282"/>
      <c r="AJ314" s="282"/>
      <c r="AK314" s="282"/>
      <c r="AL314" s="282"/>
      <c r="AM314" s="282"/>
      <c r="AN314" s="282"/>
      <c r="AO314" s="282"/>
      <c r="AP314" s="282"/>
      <c r="AQ314" s="282"/>
      <c r="AR314" s="282"/>
      <c r="AS314" s="282"/>
      <c r="AT314" s="282"/>
      <c r="AU314" s="282"/>
      <c r="AV314" s="282"/>
      <c r="AW314" s="282"/>
      <c r="AX314" s="282"/>
      <c r="AY314" s="282"/>
      <c r="AZ314" s="282"/>
      <c r="BA314" s="59"/>
      <c r="BB314" s="59"/>
      <c r="BC314" s="59"/>
      <c r="BD314" s="59"/>
      <c r="BE314" s="59"/>
      <c r="BF314" s="59"/>
      <c r="BG314" s="59"/>
    </row>
    <row r="315" spans="1:59" x14ac:dyDescent="0.25">
      <c r="A315" s="59"/>
      <c r="B315" s="282"/>
      <c r="C315" s="282"/>
      <c r="D315" s="282"/>
      <c r="E315" s="282"/>
      <c r="F315" s="282"/>
      <c r="G315" s="282"/>
      <c r="H315" s="282"/>
      <c r="I315" s="282"/>
      <c r="J315" s="282"/>
      <c r="K315" s="282"/>
      <c r="L315" s="282"/>
      <c r="M315" s="282"/>
      <c r="N315" s="282"/>
      <c r="O315" s="282"/>
      <c r="P315" s="282"/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  <c r="AC315" s="282"/>
      <c r="AD315" s="282"/>
      <c r="AE315" s="282"/>
      <c r="AF315" s="282"/>
      <c r="AG315" s="282"/>
      <c r="AH315" s="282"/>
      <c r="AI315" s="282"/>
      <c r="AJ315" s="282"/>
      <c r="AK315" s="282"/>
      <c r="AL315" s="282"/>
      <c r="AM315" s="282"/>
      <c r="AN315" s="282"/>
      <c r="AO315" s="282"/>
      <c r="AP315" s="282"/>
      <c r="AQ315" s="282"/>
      <c r="AR315" s="282"/>
      <c r="AS315" s="282"/>
      <c r="AT315" s="282"/>
      <c r="AU315" s="282"/>
      <c r="AV315" s="282"/>
      <c r="AW315" s="282"/>
      <c r="AX315" s="282"/>
      <c r="AY315" s="282"/>
      <c r="AZ315" s="282"/>
      <c r="BA315" s="59"/>
      <c r="BB315" s="59"/>
      <c r="BC315" s="59"/>
      <c r="BD315" s="59"/>
      <c r="BE315" s="59"/>
      <c r="BF315" s="59"/>
      <c r="BG315" s="59"/>
    </row>
    <row r="316" spans="1:59" x14ac:dyDescent="0.25">
      <c r="A316" s="59"/>
      <c r="B316" s="282"/>
      <c r="C316" s="282"/>
      <c r="D316" s="282"/>
      <c r="E316" s="282"/>
      <c r="F316" s="282"/>
      <c r="G316" s="282"/>
      <c r="H316" s="282"/>
      <c r="I316" s="282"/>
      <c r="J316" s="282"/>
      <c r="K316" s="282"/>
      <c r="L316" s="282"/>
      <c r="M316" s="282"/>
      <c r="N316" s="282"/>
      <c r="O316" s="282"/>
      <c r="P316" s="282"/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  <c r="AC316" s="282"/>
      <c r="AD316" s="282"/>
      <c r="AE316" s="282"/>
      <c r="AF316" s="282"/>
      <c r="AG316" s="282"/>
      <c r="AH316" s="282"/>
      <c r="AI316" s="282"/>
      <c r="AJ316" s="282"/>
      <c r="AK316" s="282"/>
      <c r="AL316" s="282"/>
      <c r="AM316" s="282"/>
      <c r="AN316" s="282"/>
      <c r="AO316" s="282"/>
      <c r="AP316" s="282"/>
      <c r="AQ316" s="282"/>
      <c r="AR316" s="282"/>
      <c r="AS316" s="282"/>
      <c r="AT316" s="282"/>
      <c r="AU316" s="282"/>
      <c r="AV316" s="282"/>
      <c r="AW316" s="282"/>
      <c r="AX316" s="282"/>
      <c r="AY316" s="282"/>
      <c r="AZ316" s="282"/>
      <c r="BA316" s="59"/>
      <c r="BB316" s="59"/>
      <c r="BC316" s="59"/>
      <c r="BD316" s="59"/>
      <c r="BE316" s="59"/>
      <c r="BF316" s="59"/>
      <c r="BG316" s="59"/>
    </row>
    <row r="317" spans="1:59" x14ac:dyDescent="0.25">
      <c r="A317" s="59"/>
      <c r="B317" s="282"/>
      <c r="C317" s="282"/>
      <c r="D317" s="282"/>
      <c r="E317" s="282"/>
      <c r="F317" s="282"/>
      <c r="G317" s="282"/>
      <c r="H317" s="282"/>
      <c r="I317" s="282"/>
      <c r="J317" s="282"/>
      <c r="K317" s="282"/>
      <c r="L317" s="282"/>
      <c r="M317" s="282"/>
      <c r="N317" s="282"/>
      <c r="O317" s="282"/>
      <c r="P317" s="282"/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  <c r="AC317" s="282"/>
      <c r="AD317" s="282"/>
      <c r="AE317" s="282"/>
      <c r="AF317" s="282"/>
      <c r="AG317" s="282"/>
      <c r="AH317" s="282"/>
      <c r="AI317" s="282"/>
      <c r="AJ317" s="282"/>
      <c r="AK317" s="282"/>
      <c r="AL317" s="282"/>
      <c r="AM317" s="282"/>
      <c r="AN317" s="282"/>
      <c r="AO317" s="282"/>
      <c r="AP317" s="282"/>
      <c r="AQ317" s="282"/>
      <c r="AR317" s="282"/>
      <c r="AS317" s="282"/>
      <c r="AT317" s="282"/>
      <c r="AU317" s="282"/>
      <c r="AV317" s="282"/>
      <c r="AW317" s="282"/>
      <c r="AX317" s="282"/>
      <c r="AY317" s="282"/>
      <c r="AZ317" s="282"/>
      <c r="BA317" s="59"/>
      <c r="BB317" s="59"/>
      <c r="BC317" s="59"/>
      <c r="BD317" s="59"/>
      <c r="BE317" s="59"/>
      <c r="BF317" s="59"/>
      <c r="BG317" s="59"/>
    </row>
    <row r="318" spans="1:59" x14ac:dyDescent="0.25">
      <c r="A318" s="59"/>
      <c r="B318" s="282"/>
      <c r="C318" s="282"/>
      <c r="D318" s="282"/>
      <c r="E318" s="282"/>
      <c r="F318" s="282"/>
      <c r="G318" s="282"/>
      <c r="H318" s="282"/>
      <c r="I318" s="282"/>
      <c r="J318" s="282"/>
      <c r="K318" s="282"/>
      <c r="L318" s="282"/>
      <c r="M318" s="282"/>
      <c r="N318" s="282"/>
      <c r="O318" s="282"/>
      <c r="P318" s="282"/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  <c r="AC318" s="282"/>
      <c r="AD318" s="282"/>
      <c r="AE318" s="282"/>
      <c r="AF318" s="282"/>
      <c r="AG318" s="282"/>
      <c r="AH318" s="282"/>
      <c r="AI318" s="282"/>
      <c r="AJ318" s="282"/>
      <c r="AK318" s="282"/>
      <c r="AL318" s="282"/>
      <c r="AM318" s="282"/>
      <c r="AN318" s="282"/>
      <c r="AO318" s="282"/>
      <c r="AP318" s="282"/>
      <c r="AQ318" s="282"/>
      <c r="AR318" s="282"/>
      <c r="AS318" s="282"/>
      <c r="AT318" s="282"/>
      <c r="AU318" s="282"/>
      <c r="AV318" s="282"/>
      <c r="AW318" s="282"/>
      <c r="AX318" s="282"/>
      <c r="AY318" s="282"/>
      <c r="AZ318" s="282"/>
      <c r="BA318" s="59"/>
      <c r="BB318" s="59"/>
      <c r="BC318" s="59"/>
      <c r="BD318" s="59"/>
      <c r="BE318" s="59"/>
      <c r="BF318" s="59"/>
      <c r="BG318" s="59"/>
    </row>
    <row r="319" spans="1:59" x14ac:dyDescent="0.25">
      <c r="A319" s="59"/>
      <c r="B319" s="282"/>
      <c r="C319" s="282"/>
      <c r="D319" s="282"/>
      <c r="E319" s="282"/>
      <c r="F319" s="282"/>
      <c r="G319" s="282"/>
      <c r="H319" s="282"/>
      <c r="I319" s="282"/>
      <c r="J319" s="282"/>
      <c r="K319" s="282"/>
      <c r="L319" s="282"/>
      <c r="M319" s="282"/>
      <c r="N319" s="282"/>
      <c r="O319" s="282"/>
      <c r="P319" s="282"/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  <c r="AC319" s="282"/>
      <c r="AD319" s="282"/>
      <c r="AE319" s="282"/>
      <c r="AF319" s="282"/>
      <c r="AG319" s="282"/>
      <c r="AH319" s="282"/>
      <c r="AI319" s="282"/>
      <c r="AJ319" s="282"/>
      <c r="AK319" s="282"/>
      <c r="AL319" s="282"/>
      <c r="AM319" s="282"/>
      <c r="AN319" s="282"/>
      <c r="AO319" s="282"/>
      <c r="AP319" s="282"/>
      <c r="AQ319" s="282"/>
      <c r="AR319" s="282"/>
      <c r="AS319" s="282"/>
      <c r="AT319" s="282"/>
      <c r="AU319" s="282"/>
      <c r="AV319" s="282"/>
      <c r="AW319" s="282"/>
      <c r="AX319" s="282"/>
      <c r="AY319" s="282"/>
      <c r="AZ319" s="282"/>
      <c r="BA319" s="59"/>
      <c r="BB319" s="59"/>
      <c r="BC319" s="59"/>
      <c r="BD319" s="59"/>
      <c r="BE319" s="59"/>
      <c r="BF319" s="59"/>
      <c r="BG319" s="59"/>
    </row>
    <row r="320" spans="1:59" x14ac:dyDescent="0.25">
      <c r="A320" s="59"/>
      <c r="B320" s="282"/>
      <c r="C320" s="282"/>
      <c r="D320" s="282"/>
      <c r="E320" s="282"/>
      <c r="F320" s="282"/>
      <c r="G320" s="282"/>
      <c r="H320" s="282"/>
      <c r="I320" s="282"/>
      <c r="J320" s="282"/>
      <c r="K320" s="282"/>
      <c r="L320" s="282"/>
      <c r="M320" s="282"/>
      <c r="N320" s="282"/>
      <c r="O320" s="282"/>
      <c r="P320" s="282"/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  <c r="AC320" s="282"/>
      <c r="AD320" s="282"/>
      <c r="AE320" s="282"/>
      <c r="AF320" s="282"/>
      <c r="AG320" s="282"/>
      <c r="AH320" s="282"/>
      <c r="AI320" s="282"/>
      <c r="AJ320" s="282"/>
      <c r="AK320" s="282"/>
      <c r="AL320" s="282"/>
      <c r="AM320" s="282"/>
      <c r="AN320" s="282"/>
      <c r="AO320" s="282"/>
      <c r="AP320" s="282"/>
      <c r="AQ320" s="282"/>
      <c r="AR320" s="282"/>
      <c r="AS320" s="282"/>
      <c r="AT320" s="282"/>
      <c r="AU320" s="282"/>
      <c r="AV320" s="282"/>
      <c r="AW320" s="282"/>
      <c r="AX320" s="282"/>
      <c r="AY320" s="282"/>
      <c r="AZ320" s="282"/>
      <c r="BA320" s="59"/>
      <c r="BB320" s="59"/>
      <c r="BC320" s="59"/>
      <c r="BD320" s="59"/>
      <c r="BE320" s="59"/>
      <c r="BF320" s="59"/>
      <c r="BG320" s="59"/>
    </row>
    <row r="321" spans="1:59" x14ac:dyDescent="0.25">
      <c r="A321" s="59"/>
      <c r="B321" s="282"/>
      <c r="C321" s="282"/>
      <c r="D321" s="282"/>
      <c r="E321" s="282"/>
      <c r="F321" s="282"/>
      <c r="G321" s="282"/>
      <c r="H321" s="282"/>
      <c r="I321" s="282"/>
      <c r="J321" s="282"/>
      <c r="K321" s="282"/>
      <c r="L321" s="282"/>
      <c r="M321" s="282"/>
      <c r="N321" s="282"/>
      <c r="O321" s="282"/>
      <c r="P321" s="282"/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  <c r="AC321" s="282"/>
      <c r="AD321" s="282"/>
      <c r="AE321" s="282"/>
      <c r="AF321" s="282"/>
      <c r="AG321" s="282"/>
      <c r="AH321" s="282"/>
      <c r="AI321" s="282"/>
      <c r="AJ321" s="282"/>
      <c r="AK321" s="282"/>
      <c r="AL321" s="282"/>
      <c r="AM321" s="282"/>
      <c r="AN321" s="282"/>
      <c r="AO321" s="282"/>
      <c r="AP321" s="282"/>
      <c r="AQ321" s="282"/>
      <c r="AR321" s="282"/>
      <c r="AS321" s="282"/>
      <c r="AT321" s="282"/>
      <c r="AU321" s="282"/>
      <c r="AV321" s="282"/>
      <c r="AW321" s="282"/>
      <c r="AX321" s="282"/>
      <c r="AY321" s="282"/>
      <c r="AZ321" s="282"/>
      <c r="BA321" s="59"/>
      <c r="BB321" s="59"/>
      <c r="BC321" s="59"/>
      <c r="BD321" s="59"/>
      <c r="BE321" s="59"/>
      <c r="BF321" s="59"/>
      <c r="BG321" s="59"/>
    </row>
    <row r="322" spans="1:59" x14ac:dyDescent="0.25">
      <c r="A322" s="59"/>
      <c r="B322" s="282"/>
      <c r="C322" s="282"/>
      <c r="D322" s="282"/>
      <c r="E322" s="282"/>
      <c r="F322" s="282"/>
      <c r="G322" s="282"/>
      <c r="H322" s="282"/>
      <c r="I322" s="282"/>
      <c r="J322" s="282"/>
      <c r="K322" s="282"/>
      <c r="L322" s="282"/>
      <c r="M322" s="282"/>
      <c r="N322" s="282"/>
      <c r="O322" s="282"/>
      <c r="P322" s="282"/>
      <c r="Q322" s="282"/>
      <c r="R322" s="282"/>
      <c r="S322" s="282"/>
      <c r="T322" s="282"/>
      <c r="U322" s="282"/>
      <c r="V322" s="282"/>
      <c r="W322" s="282"/>
      <c r="X322" s="282"/>
      <c r="Y322" s="282"/>
      <c r="Z322" s="282"/>
      <c r="AA322" s="282"/>
      <c r="AB322" s="282"/>
      <c r="AC322" s="282"/>
      <c r="AD322" s="282"/>
      <c r="AE322" s="282"/>
      <c r="AF322" s="282"/>
      <c r="AG322" s="282"/>
      <c r="AH322" s="282"/>
      <c r="AI322" s="282"/>
      <c r="AJ322" s="282"/>
      <c r="AK322" s="282"/>
      <c r="AL322" s="282"/>
      <c r="AM322" s="282"/>
      <c r="AN322" s="282"/>
      <c r="AO322" s="282"/>
      <c r="AP322" s="282"/>
      <c r="AQ322" s="282"/>
      <c r="AR322" s="282"/>
      <c r="AS322" s="282"/>
      <c r="AT322" s="282"/>
      <c r="AU322" s="282"/>
      <c r="AV322" s="282"/>
      <c r="AW322" s="282"/>
      <c r="AX322" s="282"/>
      <c r="AY322" s="282"/>
      <c r="AZ322" s="282"/>
      <c r="BA322" s="59"/>
      <c r="BB322" s="59"/>
      <c r="BC322" s="59"/>
      <c r="BD322" s="59"/>
      <c r="BE322" s="59"/>
      <c r="BF322" s="59"/>
      <c r="BG322" s="59"/>
    </row>
    <row r="323" spans="1:59" x14ac:dyDescent="0.25">
      <c r="A323" s="59"/>
      <c r="B323" s="282"/>
      <c r="C323" s="282"/>
      <c r="D323" s="282"/>
      <c r="E323" s="282"/>
      <c r="F323" s="282"/>
      <c r="G323" s="282"/>
      <c r="H323" s="282"/>
      <c r="I323" s="282"/>
      <c r="J323" s="282"/>
      <c r="K323" s="282"/>
      <c r="L323" s="282"/>
      <c r="M323" s="282"/>
      <c r="N323" s="282"/>
      <c r="O323" s="282"/>
      <c r="P323" s="282"/>
      <c r="Q323" s="282"/>
      <c r="R323" s="282"/>
      <c r="S323" s="282"/>
      <c r="T323" s="282"/>
      <c r="U323" s="282"/>
      <c r="V323" s="282"/>
      <c r="W323" s="282"/>
      <c r="X323" s="282"/>
      <c r="Y323" s="282"/>
      <c r="Z323" s="282"/>
      <c r="AA323" s="282"/>
      <c r="AB323" s="282"/>
      <c r="AC323" s="282"/>
      <c r="AD323" s="282"/>
      <c r="AE323" s="282"/>
      <c r="AF323" s="282"/>
      <c r="AG323" s="282"/>
      <c r="AH323" s="282"/>
      <c r="AI323" s="282"/>
      <c r="AJ323" s="282"/>
      <c r="AK323" s="282"/>
      <c r="AL323" s="282"/>
      <c r="AM323" s="282"/>
      <c r="AN323" s="282"/>
      <c r="AO323" s="282"/>
      <c r="AP323" s="282"/>
      <c r="AQ323" s="282"/>
      <c r="AR323" s="282"/>
      <c r="AS323" s="282"/>
      <c r="AT323" s="282"/>
      <c r="AU323" s="282"/>
      <c r="AV323" s="282"/>
      <c r="AW323" s="282"/>
      <c r="AX323" s="282"/>
      <c r="AY323" s="282"/>
      <c r="AZ323" s="282"/>
      <c r="BA323" s="59"/>
      <c r="BB323" s="59"/>
      <c r="BC323" s="59"/>
      <c r="BD323" s="59"/>
      <c r="BE323" s="59"/>
      <c r="BF323" s="59"/>
      <c r="BG323" s="59"/>
    </row>
    <row r="324" spans="1:59" x14ac:dyDescent="0.25">
      <c r="A324" s="59"/>
      <c r="B324" s="282"/>
      <c r="C324" s="282"/>
      <c r="D324" s="282"/>
      <c r="E324" s="282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  <c r="P324" s="282"/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  <c r="AA324" s="282"/>
      <c r="AB324" s="282"/>
      <c r="AC324" s="282"/>
      <c r="AD324" s="282"/>
      <c r="AE324" s="282"/>
      <c r="AF324" s="282"/>
      <c r="AG324" s="282"/>
      <c r="AH324" s="282"/>
      <c r="AI324" s="282"/>
      <c r="AJ324" s="282"/>
      <c r="AK324" s="282"/>
      <c r="AL324" s="282"/>
      <c r="AM324" s="282"/>
      <c r="AN324" s="282"/>
      <c r="AO324" s="282"/>
      <c r="AP324" s="282"/>
      <c r="AQ324" s="282"/>
      <c r="AR324" s="282"/>
      <c r="AS324" s="282"/>
      <c r="AT324" s="282"/>
      <c r="AU324" s="282"/>
      <c r="AV324" s="282"/>
      <c r="AW324" s="282"/>
      <c r="AX324" s="282"/>
      <c r="AY324" s="282"/>
      <c r="AZ324" s="282"/>
      <c r="BA324" s="59"/>
      <c r="BB324" s="59"/>
      <c r="BC324" s="59"/>
      <c r="BD324" s="59"/>
      <c r="BE324" s="59"/>
      <c r="BF324" s="59"/>
      <c r="BG324" s="59"/>
    </row>
    <row r="325" spans="1:59" x14ac:dyDescent="0.25">
      <c r="A325" s="59"/>
      <c r="B325" s="282"/>
      <c r="C325" s="282"/>
      <c r="D325" s="282"/>
      <c r="E325" s="282"/>
      <c r="F325" s="282"/>
      <c r="G325" s="282"/>
      <c r="H325" s="282"/>
      <c r="I325" s="282"/>
      <c r="J325" s="282"/>
      <c r="K325" s="282"/>
      <c r="L325" s="282"/>
      <c r="M325" s="282"/>
      <c r="N325" s="282"/>
      <c r="O325" s="282"/>
      <c r="P325" s="282"/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  <c r="AA325" s="282"/>
      <c r="AB325" s="282"/>
      <c r="AC325" s="282"/>
      <c r="AD325" s="282"/>
      <c r="AE325" s="282"/>
      <c r="AF325" s="282"/>
      <c r="AG325" s="282"/>
      <c r="AH325" s="282"/>
      <c r="AI325" s="282"/>
      <c r="AJ325" s="282"/>
      <c r="AK325" s="282"/>
      <c r="AL325" s="282"/>
      <c r="AM325" s="282"/>
      <c r="AN325" s="282"/>
      <c r="AO325" s="282"/>
      <c r="AP325" s="282"/>
      <c r="AQ325" s="282"/>
      <c r="AR325" s="282"/>
      <c r="AS325" s="282"/>
      <c r="AT325" s="282"/>
      <c r="AU325" s="282"/>
      <c r="AV325" s="282"/>
      <c r="AW325" s="282"/>
      <c r="AX325" s="282"/>
      <c r="AY325" s="282"/>
      <c r="AZ325" s="282"/>
      <c r="BA325" s="59"/>
      <c r="BB325" s="59"/>
      <c r="BC325" s="59"/>
      <c r="BD325" s="59"/>
      <c r="BE325" s="59"/>
      <c r="BF325" s="59"/>
      <c r="BG325" s="59"/>
    </row>
    <row r="326" spans="1:59" x14ac:dyDescent="0.25">
      <c r="A326" s="59"/>
      <c r="B326" s="282"/>
      <c r="C326" s="282"/>
      <c r="D326" s="282"/>
      <c r="E326" s="282"/>
      <c r="F326" s="282"/>
      <c r="G326" s="282"/>
      <c r="H326" s="282"/>
      <c r="I326" s="282"/>
      <c r="J326" s="282"/>
      <c r="K326" s="282"/>
      <c r="L326" s="282"/>
      <c r="M326" s="282"/>
      <c r="N326" s="282"/>
      <c r="O326" s="282"/>
      <c r="P326" s="282"/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  <c r="AC326" s="282"/>
      <c r="AD326" s="282"/>
      <c r="AE326" s="282"/>
      <c r="AF326" s="282"/>
      <c r="AG326" s="282"/>
      <c r="AH326" s="282"/>
      <c r="AI326" s="282"/>
      <c r="AJ326" s="282"/>
      <c r="AK326" s="282"/>
      <c r="AL326" s="282"/>
      <c r="AM326" s="282"/>
      <c r="AN326" s="282"/>
      <c r="AO326" s="282"/>
      <c r="AP326" s="282"/>
      <c r="AQ326" s="282"/>
      <c r="AR326" s="282"/>
      <c r="AS326" s="282"/>
      <c r="AT326" s="282"/>
      <c r="AU326" s="282"/>
      <c r="AV326" s="282"/>
      <c r="AW326" s="282"/>
      <c r="AX326" s="282"/>
      <c r="AY326" s="282"/>
      <c r="AZ326" s="282"/>
      <c r="BA326" s="59"/>
      <c r="BB326" s="59"/>
      <c r="BC326" s="59"/>
      <c r="BD326" s="59"/>
      <c r="BE326" s="59"/>
      <c r="BF326" s="59"/>
      <c r="BG326" s="59"/>
    </row>
    <row r="327" spans="1:59" x14ac:dyDescent="0.25">
      <c r="A327" s="59"/>
      <c r="B327" s="282"/>
      <c r="C327" s="282"/>
      <c r="D327" s="282"/>
      <c r="E327" s="282"/>
      <c r="F327" s="282"/>
      <c r="G327" s="282"/>
      <c r="H327" s="282"/>
      <c r="I327" s="282"/>
      <c r="J327" s="282"/>
      <c r="K327" s="282"/>
      <c r="L327" s="282"/>
      <c r="M327" s="282"/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G327" s="282"/>
      <c r="AH327" s="282"/>
      <c r="AI327" s="282"/>
      <c r="AJ327" s="282"/>
      <c r="AK327" s="282"/>
      <c r="AL327" s="282"/>
      <c r="AM327" s="282"/>
      <c r="AN327" s="282"/>
      <c r="AO327" s="282"/>
      <c r="AP327" s="282"/>
      <c r="AQ327" s="282"/>
      <c r="AR327" s="282"/>
      <c r="AS327" s="282"/>
      <c r="AT327" s="282"/>
      <c r="AU327" s="282"/>
      <c r="AV327" s="282"/>
      <c r="AW327" s="282"/>
      <c r="AX327" s="282"/>
      <c r="AY327" s="282"/>
      <c r="AZ327" s="282"/>
      <c r="BA327" s="59"/>
      <c r="BB327" s="59"/>
      <c r="BC327" s="59"/>
      <c r="BD327" s="59"/>
      <c r="BE327" s="59"/>
      <c r="BF327" s="59"/>
      <c r="BG327" s="59"/>
    </row>
    <row r="328" spans="1:59" x14ac:dyDescent="0.25">
      <c r="A328" s="59"/>
      <c r="B328" s="282"/>
      <c r="C328" s="282"/>
      <c r="D328" s="282"/>
      <c r="E328" s="282"/>
      <c r="F328" s="282"/>
      <c r="G328" s="282"/>
      <c r="H328" s="282"/>
      <c r="I328" s="282"/>
      <c r="J328" s="282"/>
      <c r="K328" s="282"/>
      <c r="L328" s="282"/>
      <c r="M328" s="282"/>
      <c r="N328" s="282"/>
      <c r="O328" s="282"/>
      <c r="P328" s="282"/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  <c r="AC328" s="282"/>
      <c r="AD328" s="282"/>
      <c r="AE328" s="282"/>
      <c r="AF328" s="282"/>
      <c r="AG328" s="282"/>
      <c r="AH328" s="282"/>
      <c r="AI328" s="282"/>
      <c r="AJ328" s="282"/>
      <c r="AK328" s="282"/>
      <c r="AL328" s="282"/>
      <c r="AM328" s="282"/>
      <c r="AN328" s="282"/>
      <c r="AO328" s="282"/>
      <c r="AP328" s="282"/>
      <c r="AQ328" s="282"/>
      <c r="AR328" s="282"/>
      <c r="AS328" s="282"/>
      <c r="AT328" s="282"/>
      <c r="AU328" s="282"/>
      <c r="AV328" s="282"/>
      <c r="AW328" s="282"/>
      <c r="AX328" s="282"/>
      <c r="AY328" s="282"/>
      <c r="AZ328" s="282"/>
      <c r="BA328" s="59"/>
      <c r="BB328" s="59"/>
      <c r="BC328" s="59"/>
      <c r="BD328" s="59"/>
      <c r="BE328" s="59"/>
      <c r="BF328" s="59"/>
      <c r="BG328" s="59"/>
    </row>
    <row r="329" spans="1:59" x14ac:dyDescent="0.25">
      <c r="A329" s="59"/>
      <c r="B329" s="282"/>
      <c r="C329" s="282"/>
      <c r="D329" s="282"/>
      <c r="E329" s="282"/>
      <c r="F329" s="282"/>
      <c r="G329" s="282"/>
      <c r="H329" s="282"/>
      <c r="I329" s="282"/>
      <c r="J329" s="282"/>
      <c r="K329" s="282"/>
      <c r="L329" s="282"/>
      <c r="M329" s="282"/>
      <c r="N329" s="282"/>
      <c r="O329" s="282"/>
      <c r="P329" s="282"/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  <c r="AC329" s="282"/>
      <c r="AD329" s="282"/>
      <c r="AE329" s="282"/>
      <c r="AF329" s="282"/>
      <c r="AG329" s="282"/>
      <c r="AH329" s="282"/>
      <c r="AI329" s="282"/>
      <c r="AJ329" s="282"/>
      <c r="AK329" s="282"/>
      <c r="AL329" s="282"/>
      <c r="AM329" s="282"/>
      <c r="AN329" s="282"/>
      <c r="AO329" s="282"/>
      <c r="AP329" s="282"/>
      <c r="AQ329" s="282"/>
      <c r="AR329" s="282"/>
      <c r="AS329" s="282"/>
      <c r="AT329" s="282"/>
      <c r="AU329" s="282"/>
      <c r="AV329" s="282"/>
      <c r="AW329" s="282"/>
      <c r="AX329" s="282"/>
      <c r="AY329" s="282"/>
      <c r="AZ329" s="282"/>
      <c r="BA329" s="59"/>
      <c r="BB329" s="59"/>
      <c r="BC329" s="59"/>
      <c r="BD329" s="59"/>
      <c r="BE329" s="59"/>
      <c r="BF329" s="59"/>
      <c r="BG329" s="59"/>
    </row>
    <row r="330" spans="1:59" x14ac:dyDescent="0.25">
      <c r="A330" s="59"/>
      <c r="B330" s="282"/>
      <c r="C330" s="282"/>
      <c r="D330" s="282"/>
      <c r="E330" s="282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82"/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  <c r="AD330" s="282"/>
      <c r="AE330" s="282"/>
      <c r="AF330" s="282"/>
      <c r="AG330" s="282"/>
      <c r="AH330" s="282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  <c r="AS330" s="282"/>
      <c r="AT330" s="282"/>
      <c r="AU330" s="282"/>
      <c r="AV330" s="282"/>
      <c r="AW330" s="282"/>
      <c r="AX330" s="282"/>
      <c r="AY330" s="282"/>
      <c r="AZ330" s="282"/>
      <c r="BA330" s="59"/>
      <c r="BB330" s="59"/>
      <c r="BC330" s="59"/>
      <c r="BD330" s="59"/>
      <c r="BE330" s="59"/>
      <c r="BF330" s="59"/>
      <c r="BG330" s="59"/>
    </row>
    <row r="331" spans="1:59" x14ac:dyDescent="0.25">
      <c r="A331" s="59"/>
      <c r="B331" s="282"/>
      <c r="C331" s="282"/>
      <c r="D331" s="282"/>
      <c r="E331" s="282"/>
      <c r="F331" s="282"/>
      <c r="G331" s="282"/>
      <c r="H331" s="282"/>
      <c r="I331" s="282"/>
      <c r="J331" s="282"/>
      <c r="K331" s="282"/>
      <c r="L331" s="282"/>
      <c r="M331" s="282"/>
      <c r="N331" s="282"/>
      <c r="O331" s="282"/>
      <c r="P331" s="282"/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  <c r="AC331" s="282"/>
      <c r="AD331" s="282"/>
      <c r="AE331" s="282"/>
      <c r="AF331" s="282"/>
      <c r="AG331" s="282"/>
      <c r="AH331" s="282"/>
      <c r="AI331" s="282"/>
      <c r="AJ331" s="282"/>
      <c r="AK331" s="282"/>
      <c r="AL331" s="282"/>
      <c r="AM331" s="282"/>
      <c r="AN331" s="282"/>
      <c r="AO331" s="282"/>
      <c r="AP331" s="282"/>
      <c r="AQ331" s="282"/>
      <c r="AR331" s="282"/>
      <c r="AS331" s="282"/>
      <c r="AT331" s="282"/>
      <c r="AU331" s="282"/>
      <c r="AV331" s="282"/>
      <c r="AW331" s="282"/>
      <c r="AX331" s="282"/>
      <c r="AY331" s="282"/>
      <c r="AZ331" s="282"/>
      <c r="BA331" s="59"/>
      <c r="BB331" s="59"/>
      <c r="BC331" s="59"/>
      <c r="BD331" s="59"/>
      <c r="BE331" s="59"/>
      <c r="BF331" s="59"/>
      <c r="BG331" s="59"/>
    </row>
    <row r="332" spans="1:59" x14ac:dyDescent="0.25">
      <c r="A332" s="59"/>
      <c r="B332" s="282"/>
      <c r="C332" s="282"/>
      <c r="D332" s="282"/>
      <c r="E332" s="282"/>
      <c r="F332" s="282"/>
      <c r="G332" s="282"/>
      <c r="H332" s="282"/>
      <c r="I332" s="282"/>
      <c r="J332" s="282"/>
      <c r="K332" s="282"/>
      <c r="L332" s="282"/>
      <c r="M332" s="282"/>
      <c r="N332" s="282"/>
      <c r="O332" s="282"/>
      <c r="P332" s="282"/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  <c r="AC332" s="282"/>
      <c r="AD332" s="282"/>
      <c r="AE332" s="282"/>
      <c r="AF332" s="282"/>
      <c r="AG332" s="282"/>
      <c r="AH332" s="282"/>
      <c r="AI332" s="282"/>
      <c r="AJ332" s="282"/>
      <c r="AK332" s="282"/>
      <c r="AL332" s="282"/>
      <c r="AM332" s="282"/>
      <c r="AN332" s="282"/>
      <c r="AO332" s="282"/>
      <c r="AP332" s="282"/>
      <c r="AQ332" s="282"/>
      <c r="AR332" s="282"/>
      <c r="AS332" s="282"/>
      <c r="AT332" s="282"/>
      <c r="AU332" s="282"/>
      <c r="AV332" s="282"/>
      <c r="AW332" s="282"/>
      <c r="AX332" s="282"/>
      <c r="AY332" s="282"/>
      <c r="AZ332" s="282"/>
      <c r="BA332" s="59"/>
      <c r="BB332" s="59"/>
      <c r="BC332" s="59"/>
      <c r="BD332" s="59"/>
      <c r="BE332" s="59"/>
      <c r="BF332" s="59"/>
      <c r="BG332" s="59"/>
    </row>
    <row r="333" spans="1:59" x14ac:dyDescent="0.25">
      <c r="A333" s="59"/>
      <c r="B333" s="282"/>
      <c r="C333" s="282"/>
      <c r="D333" s="282"/>
      <c r="E333" s="282"/>
      <c r="F333" s="282"/>
      <c r="G333" s="282"/>
      <c r="H333" s="282"/>
      <c r="I333" s="282"/>
      <c r="J333" s="282"/>
      <c r="K333" s="282"/>
      <c r="L333" s="282"/>
      <c r="M333" s="282"/>
      <c r="N333" s="282"/>
      <c r="O333" s="282"/>
      <c r="P333" s="282"/>
      <c r="Q333" s="282"/>
      <c r="R333" s="282"/>
      <c r="S333" s="282"/>
      <c r="T333" s="282"/>
      <c r="U333" s="282"/>
      <c r="V333" s="282"/>
      <c r="W333" s="282"/>
      <c r="X333" s="282"/>
      <c r="Y333" s="282"/>
      <c r="Z333" s="282"/>
      <c r="AA333" s="282"/>
      <c r="AB333" s="282"/>
      <c r="AC333" s="282"/>
      <c r="AD333" s="282"/>
      <c r="AE333" s="282"/>
      <c r="AF333" s="282"/>
      <c r="AG333" s="282"/>
      <c r="AH333" s="282"/>
      <c r="AI333" s="282"/>
      <c r="AJ333" s="282"/>
      <c r="AK333" s="282"/>
      <c r="AL333" s="282"/>
      <c r="AM333" s="282"/>
      <c r="AN333" s="282"/>
      <c r="AO333" s="282"/>
      <c r="AP333" s="282"/>
      <c r="AQ333" s="282"/>
      <c r="AR333" s="282"/>
      <c r="AS333" s="282"/>
      <c r="AT333" s="282"/>
      <c r="AU333" s="282"/>
      <c r="AV333" s="282"/>
      <c r="AW333" s="282"/>
      <c r="AX333" s="282"/>
      <c r="AY333" s="282"/>
      <c r="AZ333" s="282"/>
      <c r="BA333" s="59"/>
      <c r="BB333" s="59"/>
      <c r="BC333" s="59"/>
      <c r="BD333" s="59"/>
      <c r="BE333" s="59"/>
      <c r="BF333" s="59"/>
      <c r="BG333" s="59"/>
    </row>
    <row r="334" spans="1:59" x14ac:dyDescent="0.25">
      <c r="A334" s="59"/>
      <c r="B334" s="282"/>
      <c r="C334" s="282"/>
      <c r="D334" s="282"/>
      <c r="E334" s="282"/>
      <c r="F334" s="282"/>
      <c r="G334" s="282"/>
      <c r="H334" s="282"/>
      <c r="I334" s="282"/>
      <c r="J334" s="282"/>
      <c r="K334" s="282"/>
      <c r="L334" s="282"/>
      <c r="M334" s="282"/>
      <c r="N334" s="282"/>
      <c r="O334" s="282"/>
      <c r="P334" s="282"/>
      <c r="Q334" s="282"/>
      <c r="R334" s="282"/>
      <c r="S334" s="282"/>
      <c r="T334" s="282"/>
      <c r="U334" s="282"/>
      <c r="V334" s="282"/>
      <c r="W334" s="282"/>
      <c r="X334" s="282"/>
      <c r="Y334" s="282"/>
      <c r="Z334" s="282"/>
      <c r="AA334" s="282"/>
      <c r="AB334" s="282"/>
      <c r="AC334" s="282"/>
      <c r="AD334" s="282"/>
      <c r="AE334" s="282"/>
      <c r="AF334" s="282"/>
      <c r="AG334" s="282"/>
      <c r="AH334" s="282"/>
      <c r="AI334" s="282"/>
      <c r="AJ334" s="282"/>
      <c r="AK334" s="282"/>
      <c r="AL334" s="282"/>
      <c r="AM334" s="282"/>
      <c r="AN334" s="282"/>
      <c r="AO334" s="282"/>
      <c r="AP334" s="282"/>
      <c r="AQ334" s="282"/>
      <c r="AR334" s="282"/>
      <c r="AS334" s="282"/>
      <c r="AT334" s="282"/>
      <c r="AU334" s="282"/>
      <c r="AV334" s="282"/>
      <c r="AW334" s="282"/>
      <c r="AX334" s="282"/>
      <c r="AY334" s="282"/>
      <c r="AZ334" s="282"/>
      <c r="BA334" s="59"/>
      <c r="BB334" s="59"/>
      <c r="BC334" s="59"/>
      <c r="BD334" s="59"/>
      <c r="BE334" s="59"/>
      <c r="BF334" s="59"/>
      <c r="BG334" s="59"/>
    </row>
    <row r="335" spans="1:59" x14ac:dyDescent="0.25">
      <c r="A335" s="59"/>
      <c r="B335" s="282"/>
      <c r="C335" s="282"/>
      <c r="D335" s="282"/>
      <c r="E335" s="282"/>
      <c r="F335" s="282"/>
      <c r="G335" s="282"/>
      <c r="H335" s="282"/>
      <c r="I335" s="282"/>
      <c r="J335" s="282"/>
      <c r="K335" s="282"/>
      <c r="L335" s="282"/>
      <c r="M335" s="282"/>
      <c r="N335" s="282"/>
      <c r="O335" s="282"/>
      <c r="P335" s="282"/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  <c r="AC335" s="282"/>
      <c r="AD335" s="282"/>
      <c r="AE335" s="282"/>
      <c r="AF335" s="282"/>
      <c r="AG335" s="282"/>
      <c r="AH335" s="282"/>
      <c r="AI335" s="282"/>
      <c r="AJ335" s="282"/>
      <c r="AK335" s="282"/>
      <c r="AL335" s="282"/>
      <c r="AM335" s="282"/>
      <c r="AN335" s="282"/>
      <c r="AO335" s="282"/>
      <c r="AP335" s="282"/>
      <c r="AQ335" s="282"/>
      <c r="AR335" s="282"/>
      <c r="AS335" s="282"/>
      <c r="AT335" s="282"/>
      <c r="AU335" s="282"/>
      <c r="AV335" s="282"/>
      <c r="AW335" s="282"/>
      <c r="AX335" s="282"/>
      <c r="AY335" s="282"/>
      <c r="AZ335" s="282"/>
      <c r="BA335" s="59"/>
      <c r="BB335" s="59"/>
      <c r="BC335" s="59"/>
      <c r="BD335" s="59"/>
      <c r="BE335" s="59"/>
      <c r="BF335" s="59"/>
      <c r="BG335" s="59"/>
    </row>
    <row r="336" spans="1:59" x14ac:dyDescent="0.25">
      <c r="A336" s="59"/>
      <c r="B336" s="282"/>
      <c r="C336" s="282"/>
      <c r="D336" s="282"/>
      <c r="E336" s="282"/>
      <c r="F336" s="282"/>
      <c r="G336" s="282"/>
      <c r="H336" s="282"/>
      <c r="I336" s="282"/>
      <c r="J336" s="282"/>
      <c r="K336" s="282"/>
      <c r="L336" s="282"/>
      <c r="M336" s="282"/>
      <c r="N336" s="282"/>
      <c r="O336" s="282"/>
      <c r="P336" s="282"/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  <c r="AA336" s="282"/>
      <c r="AB336" s="282"/>
      <c r="AC336" s="282"/>
      <c r="AD336" s="282"/>
      <c r="AE336" s="282"/>
      <c r="AF336" s="282"/>
      <c r="AG336" s="282"/>
      <c r="AH336" s="282"/>
      <c r="AI336" s="282"/>
      <c r="AJ336" s="282"/>
      <c r="AK336" s="282"/>
      <c r="AL336" s="282"/>
      <c r="AM336" s="282"/>
      <c r="AN336" s="282"/>
      <c r="AO336" s="282"/>
      <c r="AP336" s="282"/>
      <c r="AQ336" s="282"/>
      <c r="AR336" s="282"/>
      <c r="AS336" s="282"/>
      <c r="AT336" s="282"/>
      <c r="AU336" s="282"/>
      <c r="AV336" s="282"/>
      <c r="AW336" s="282"/>
      <c r="AX336" s="282"/>
      <c r="AY336" s="282"/>
      <c r="AZ336" s="282"/>
      <c r="BA336" s="59"/>
      <c r="BB336" s="59"/>
      <c r="BC336" s="59"/>
      <c r="BD336" s="59"/>
      <c r="BE336" s="59"/>
      <c r="BF336" s="59"/>
      <c r="BG336" s="59"/>
    </row>
    <row r="337" spans="1:59" x14ac:dyDescent="0.25">
      <c r="A337" s="59"/>
      <c r="B337" s="282"/>
      <c r="C337" s="282"/>
      <c r="D337" s="282"/>
      <c r="E337" s="282"/>
      <c r="F337" s="282"/>
      <c r="G337" s="282"/>
      <c r="H337" s="282"/>
      <c r="I337" s="282"/>
      <c r="J337" s="282"/>
      <c r="K337" s="282"/>
      <c r="L337" s="282"/>
      <c r="M337" s="282"/>
      <c r="N337" s="282"/>
      <c r="O337" s="282"/>
      <c r="P337" s="282"/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  <c r="AA337" s="282"/>
      <c r="AB337" s="282"/>
      <c r="AC337" s="282"/>
      <c r="AD337" s="282"/>
      <c r="AE337" s="282"/>
      <c r="AF337" s="282"/>
      <c r="AG337" s="282"/>
      <c r="AH337" s="282"/>
      <c r="AI337" s="282"/>
      <c r="AJ337" s="282"/>
      <c r="AK337" s="282"/>
      <c r="AL337" s="282"/>
      <c r="AM337" s="282"/>
      <c r="AN337" s="282"/>
      <c r="AO337" s="282"/>
      <c r="AP337" s="282"/>
      <c r="AQ337" s="282"/>
      <c r="AR337" s="282"/>
      <c r="AS337" s="282"/>
      <c r="AT337" s="282"/>
      <c r="AU337" s="282"/>
      <c r="AV337" s="282"/>
      <c r="AW337" s="282"/>
      <c r="AX337" s="282"/>
      <c r="AY337" s="282"/>
      <c r="AZ337" s="282"/>
      <c r="BA337" s="59"/>
      <c r="BB337" s="59"/>
      <c r="BC337" s="59"/>
      <c r="BD337" s="59"/>
      <c r="BE337" s="59"/>
      <c r="BF337" s="59"/>
      <c r="BG337" s="59"/>
    </row>
    <row r="338" spans="1:59" x14ac:dyDescent="0.25">
      <c r="A338" s="59"/>
      <c r="B338" s="282"/>
      <c r="C338" s="282"/>
      <c r="D338" s="282"/>
      <c r="E338" s="282"/>
      <c r="F338" s="282"/>
      <c r="G338" s="282"/>
      <c r="H338" s="282"/>
      <c r="I338" s="282"/>
      <c r="J338" s="282"/>
      <c r="K338" s="282"/>
      <c r="L338" s="282"/>
      <c r="M338" s="282"/>
      <c r="N338" s="282"/>
      <c r="O338" s="282"/>
      <c r="P338" s="282"/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  <c r="AC338" s="282"/>
      <c r="AD338" s="282"/>
      <c r="AE338" s="282"/>
      <c r="AF338" s="282"/>
      <c r="AG338" s="282"/>
      <c r="AH338" s="282"/>
      <c r="AI338" s="282"/>
      <c r="AJ338" s="282"/>
      <c r="AK338" s="282"/>
      <c r="AL338" s="282"/>
      <c r="AM338" s="282"/>
      <c r="AN338" s="282"/>
      <c r="AO338" s="282"/>
      <c r="AP338" s="282"/>
      <c r="AQ338" s="282"/>
      <c r="AR338" s="282"/>
      <c r="AS338" s="282"/>
      <c r="AT338" s="282"/>
      <c r="AU338" s="282"/>
      <c r="AV338" s="282"/>
      <c r="AW338" s="282"/>
      <c r="AX338" s="282"/>
      <c r="AY338" s="282"/>
      <c r="AZ338" s="282"/>
      <c r="BA338" s="59"/>
      <c r="BB338" s="59"/>
      <c r="BC338" s="59"/>
      <c r="BD338" s="59"/>
      <c r="BE338" s="59"/>
      <c r="BF338" s="59"/>
      <c r="BG338" s="59"/>
    </row>
    <row r="339" spans="1:59" x14ac:dyDescent="0.25">
      <c r="A339" s="59"/>
      <c r="B339" s="282"/>
      <c r="C339" s="282"/>
      <c r="D339" s="282"/>
      <c r="E339" s="282"/>
      <c r="F339" s="282"/>
      <c r="G339" s="282"/>
      <c r="H339" s="282"/>
      <c r="I339" s="282"/>
      <c r="J339" s="282"/>
      <c r="K339" s="282"/>
      <c r="L339" s="282"/>
      <c r="M339" s="282"/>
      <c r="N339" s="282"/>
      <c r="O339" s="282"/>
      <c r="P339" s="282"/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  <c r="AC339" s="282"/>
      <c r="AD339" s="282"/>
      <c r="AE339" s="282"/>
      <c r="AF339" s="282"/>
      <c r="AG339" s="282"/>
      <c r="AH339" s="282"/>
      <c r="AI339" s="282"/>
      <c r="AJ339" s="282"/>
      <c r="AK339" s="282"/>
      <c r="AL339" s="282"/>
      <c r="AM339" s="282"/>
      <c r="AN339" s="282"/>
      <c r="AO339" s="282"/>
      <c r="AP339" s="282"/>
      <c r="AQ339" s="282"/>
      <c r="AR339" s="282"/>
      <c r="AS339" s="282"/>
      <c r="AT339" s="282"/>
      <c r="AU339" s="282"/>
      <c r="AV339" s="282"/>
      <c r="AW339" s="282"/>
      <c r="AX339" s="282"/>
      <c r="AY339" s="282"/>
      <c r="AZ339" s="282"/>
      <c r="BA339" s="59"/>
      <c r="BB339" s="59"/>
      <c r="BC339" s="59"/>
      <c r="BD339" s="59"/>
      <c r="BE339" s="59"/>
      <c r="BF339" s="59"/>
      <c r="BG339" s="59"/>
    </row>
    <row r="340" spans="1:59" x14ac:dyDescent="0.25">
      <c r="A340" s="59"/>
      <c r="B340" s="282"/>
      <c r="C340" s="282"/>
      <c r="D340" s="282"/>
      <c r="E340" s="282"/>
      <c r="F340" s="282"/>
      <c r="G340" s="282"/>
      <c r="H340" s="282"/>
      <c r="I340" s="282"/>
      <c r="J340" s="282"/>
      <c r="K340" s="282"/>
      <c r="L340" s="282"/>
      <c r="M340" s="282"/>
      <c r="N340" s="282"/>
      <c r="O340" s="282"/>
      <c r="P340" s="282"/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  <c r="AC340" s="282"/>
      <c r="AD340" s="282"/>
      <c r="AE340" s="282"/>
      <c r="AF340" s="282"/>
      <c r="AG340" s="282"/>
      <c r="AH340" s="282"/>
      <c r="AI340" s="282"/>
      <c r="AJ340" s="282"/>
      <c r="AK340" s="282"/>
      <c r="AL340" s="282"/>
      <c r="AM340" s="282"/>
      <c r="AN340" s="282"/>
      <c r="AO340" s="282"/>
      <c r="AP340" s="282"/>
      <c r="AQ340" s="282"/>
      <c r="AR340" s="282"/>
      <c r="AS340" s="282"/>
      <c r="AT340" s="282"/>
      <c r="AU340" s="282"/>
      <c r="AV340" s="282"/>
      <c r="AW340" s="282"/>
      <c r="AX340" s="282"/>
      <c r="AY340" s="282"/>
      <c r="AZ340" s="282"/>
      <c r="BA340" s="59"/>
      <c r="BB340" s="59"/>
      <c r="BC340" s="59"/>
      <c r="BD340" s="59"/>
      <c r="BE340" s="59"/>
      <c r="BF340" s="59"/>
      <c r="BG340" s="59"/>
    </row>
    <row r="341" spans="1:59" x14ac:dyDescent="0.25">
      <c r="A341" s="59"/>
      <c r="B341" s="282"/>
      <c r="C341" s="282"/>
      <c r="D341" s="282"/>
      <c r="E341" s="282"/>
      <c r="F341" s="282"/>
      <c r="G341" s="282"/>
      <c r="H341" s="282"/>
      <c r="I341" s="282"/>
      <c r="J341" s="282"/>
      <c r="K341" s="282"/>
      <c r="L341" s="282"/>
      <c r="M341" s="282"/>
      <c r="N341" s="282"/>
      <c r="O341" s="282"/>
      <c r="P341" s="282"/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  <c r="AC341" s="282"/>
      <c r="AD341" s="282"/>
      <c r="AE341" s="282"/>
      <c r="AF341" s="282"/>
      <c r="AG341" s="282"/>
      <c r="AH341" s="282"/>
      <c r="AI341" s="282"/>
      <c r="AJ341" s="282"/>
      <c r="AK341" s="282"/>
      <c r="AL341" s="282"/>
      <c r="AM341" s="282"/>
      <c r="AN341" s="282"/>
      <c r="AO341" s="282"/>
      <c r="AP341" s="282"/>
      <c r="AQ341" s="282"/>
      <c r="AR341" s="282"/>
      <c r="AS341" s="282"/>
      <c r="AT341" s="282"/>
      <c r="AU341" s="282"/>
      <c r="AV341" s="282"/>
      <c r="AW341" s="282"/>
      <c r="AX341" s="282"/>
      <c r="AY341" s="282"/>
      <c r="AZ341" s="282"/>
      <c r="BA341" s="59"/>
      <c r="BB341" s="59"/>
      <c r="BC341" s="59"/>
      <c r="BD341" s="59"/>
      <c r="BE341" s="59"/>
      <c r="BF341" s="59"/>
      <c r="BG341" s="59"/>
    </row>
    <row r="342" spans="1:59" x14ac:dyDescent="0.25">
      <c r="A342" s="59"/>
      <c r="B342" s="282"/>
      <c r="C342" s="282"/>
      <c r="D342" s="282"/>
      <c r="E342" s="282"/>
      <c r="F342" s="282"/>
      <c r="G342" s="282"/>
      <c r="H342" s="282"/>
      <c r="I342" s="282"/>
      <c r="J342" s="282"/>
      <c r="K342" s="282"/>
      <c r="L342" s="282"/>
      <c r="M342" s="282"/>
      <c r="N342" s="282"/>
      <c r="O342" s="282"/>
      <c r="P342" s="282"/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  <c r="AC342" s="282"/>
      <c r="AD342" s="282"/>
      <c r="AE342" s="282"/>
      <c r="AF342" s="282"/>
      <c r="AG342" s="282"/>
      <c r="AH342" s="282"/>
      <c r="AI342" s="282"/>
      <c r="AJ342" s="282"/>
      <c r="AK342" s="282"/>
      <c r="AL342" s="282"/>
      <c r="AM342" s="282"/>
      <c r="AN342" s="282"/>
      <c r="AO342" s="282"/>
      <c r="AP342" s="282"/>
      <c r="AQ342" s="282"/>
      <c r="AR342" s="282"/>
      <c r="AS342" s="282"/>
      <c r="AT342" s="282"/>
      <c r="AU342" s="282"/>
      <c r="AV342" s="282"/>
      <c r="AW342" s="282"/>
      <c r="AX342" s="282"/>
      <c r="AY342" s="282"/>
      <c r="AZ342" s="282"/>
      <c r="BA342" s="59"/>
      <c r="BB342" s="59"/>
      <c r="BC342" s="59"/>
      <c r="BD342" s="59"/>
      <c r="BE342" s="59"/>
      <c r="BF342" s="59"/>
      <c r="BG342" s="59"/>
    </row>
    <row r="343" spans="1:59" x14ac:dyDescent="0.25">
      <c r="A343" s="59"/>
      <c r="B343" s="282"/>
      <c r="C343" s="282"/>
      <c r="D343" s="282"/>
      <c r="E343" s="282"/>
      <c r="F343" s="282"/>
      <c r="G343" s="282"/>
      <c r="H343" s="282"/>
      <c r="I343" s="282"/>
      <c r="J343" s="282"/>
      <c r="K343" s="282"/>
      <c r="L343" s="282"/>
      <c r="M343" s="282"/>
      <c r="N343" s="282"/>
      <c r="O343" s="282"/>
      <c r="P343" s="282"/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  <c r="AC343" s="282"/>
      <c r="AD343" s="282"/>
      <c r="AE343" s="282"/>
      <c r="AF343" s="282"/>
      <c r="AG343" s="282"/>
      <c r="AH343" s="282"/>
      <c r="AI343" s="282"/>
      <c r="AJ343" s="282"/>
      <c r="AK343" s="282"/>
      <c r="AL343" s="282"/>
      <c r="AM343" s="282"/>
      <c r="AN343" s="282"/>
      <c r="AO343" s="282"/>
      <c r="AP343" s="282"/>
      <c r="AQ343" s="282"/>
      <c r="AR343" s="282"/>
      <c r="AS343" s="282"/>
      <c r="AT343" s="282"/>
      <c r="AU343" s="282"/>
      <c r="AV343" s="282"/>
      <c r="AW343" s="282"/>
      <c r="AX343" s="282"/>
      <c r="AY343" s="282"/>
      <c r="AZ343" s="282"/>
      <c r="BA343" s="59"/>
      <c r="BB343" s="59"/>
      <c r="BC343" s="59"/>
      <c r="BD343" s="59"/>
      <c r="BE343" s="59"/>
      <c r="BF343" s="59"/>
      <c r="BG343" s="59"/>
    </row>
    <row r="344" spans="1:59" x14ac:dyDescent="0.25">
      <c r="A344" s="59"/>
      <c r="B344" s="282"/>
      <c r="C344" s="282"/>
      <c r="D344" s="282"/>
      <c r="E344" s="282"/>
      <c r="F344" s="282"/>
      <c r="G344" s="282"/>
      <c r="H344" s="282"/>
      <c r="I344" s="282"/>
      <c r="J344" s="282"/>
      <c r="K344" s="282"/>
      <c r="L344" s="282"/>
      <c r="M344" s="282"/>
      <c r="N344" s="282"/>
      <c r="O344" s="282"/>
      <c r="P344" s="282"/>
      <c r="Q344" s="282"/>
      <c r="R344" s="282"/>
      <c r="S344" s="282"/>
      <c r="T344" s="282"/>
      <c r="U344" s="282"/>
      <c r="V344" s="282"/>
      <c r="W344" s="282"/>
      <c r="X344" s="282"/>
      <c r="Y344" s="282"/>
      <c r="Z344" s="282"/>
      <c r="AA344" s="282"/>
      <c r="AB344" s="282"/>
      <c r="AC344" s="282"/>
      <c r="AD344" s="282"/>
      <c r="AE344" s="282"/>
      <c r="AF344" s="282"/>
      <c r="AG344" s="282"/>
      <c r="AH344" s="282"/>
      <c r="AI344" s="282"/>
      <c r="AJ344" s="282"/>
      <c r="AK344" s="282"/>
      <c r="AL344" s="282"/>
      <c r="AM344" s="282"/>
      <c r="AN344" s="282"/>
      <c r="AO344" s="282"/>
      <c r="AP344" s="282"/>
      <c r="AQ344" s="282"/>
      <c r="AR344" s="282"/>
      <c r="AS344" s="282"/>
      <c r="AT344" s="282"/>
      <c r="AU344" s="282"/>
      <c r="AV344" s="282"/>
      <c r="AW344" s="282"/>
      <c r="AX344" s="282"/>
      <c r="AY344" s="282"/>
      <c r="AZ344" s="282"/>
      <c r="BA344" s="59"/>
      <c r="BB344" s="59"/>
      <c r="BC344" s="59"/>
      <c r="BD344" s="59"/>
      <c r="BE344" s="59"/>
      <c r="BF344" s="59"/>
      <c r="BG344" s="59"/>
    </row>
    <row r="345" spans="1:59" x14ac:dyDescent="0.25">
      <c r="A345" s="59"/>
      <c r="B345" s="282"/>
      <c r="C345" s="282"/>
      <c r="D345" s="282"/>
      <c r="E345" s="282"/>
      <c r="F345" s="282"/>
      <c r="G345" s="282"/>
      <c r="H345" s="282"/>
      <c r="I345" s="282"/>
      <c r="J345" s="282"/>
      <c r="K345" s="282"/>
      <c r="L345" s="282"/>
      <c r="M345" s="282"/>
      <c r="N345" s="282"/>
      <c r="O345" s="282"/>
      <c r="P345" s="282"/>
      <c r="Q345" s="282"/>
      <c r="R345" s="282"/>
      <c r="S345" s="282"/>
      <c r="T345" s="282"/>
      <c r="U345" s="282"/>
      <c r="V345" s="282"/>
      <c r="W345" s="282"/>
      <c r="X345" s="282"/>
      <c r="Y345" s="282"/>
      <c r="Z345" s="282"/>
      <c r="AA345" s="282"/>
      <c r="AB345" s="282"/>
      <c r="AC345" s="282"/>
      <c r="AD345" s="282"/>
      <c r="AE345" s="282"/>
      <c r="AF345" s="282"/>
      <c r="AG345" s="282"/>
      <c r="AH345" s="282"/>
      <c r="AI345" s="282"/>
      <c r="AJ345" s="282"/>
      <c r="AK345" s="282"/>
      <c r="AL345" s="282"/>
      <c r="AM345" s="282"/>
      <c r="AN345" s="282"/>
      <c r="AO345" s="282"/>
      <c r="AP345" s="282"/>
      <c r="AQ345" s="282"/>
      <c r="AR345" s="282"/>
      <c r="AS345" s="282"/>
      <c r="AT345" s="282"/>
      <c r="AU345" s="282"/>
      <c r="AV345" s="282"/>
      <c r="AW345" s="282"/>
      <c r="AX345" s="282"/>
      <c r="AY345" s="282"/>
      <c r="AZ345" s="282"/>
      <c r="BA345" s="59"/>
      <c r="BB345" s="59"/>
      <c r="BC345" s="59"/>
      <c r="BD345" s="59"/>
      <c r="BE345" s="59"/>
      <c r="BF345" s="59"/>
      <c r="BG345" s="59"/>
    </row>
    <row r="346" spans="1:59" x14ac:dyDescent="0.25">
      <c r="A346" s="59"/>
      <c r="B346" s="282"/>
      <c r="C346" s="282"/>
      <c r="D346" s="282"/>
      <c r="E346" s="282"/>
      <c r="F346" s="282"/>
      <c r="G346" s="282"/>
      <c r="H346" s="282"/>
      <c r="I346" s="282"/>
      <c r="J346" s="282"/>
      <c r="K346" s="282"/>
      <c r="L346" s="282"/>
      <c r="M346" s="282"/>
      <c r="N346" s="282"/>
      <c r="O346" s="282"/>
      <c r="P346" s="282"/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  <c r="AC346" s="282"/>
      <c r="AD346" s="282"/>
      <c r="AE346" s="282"/>
      <c r="AF346" s="282"/>
      <c r="AG346" s="282"/>
      <c r="AH346" s="282"/>
      <c r="AI346" s="282"/>
      <c r="AJ346" s="282"/>
      <c r="AK346" s="282"/>
      <c r="AL346" s="282"/>
      <c r="AM346" s="282"/>
      <c r="AN346" s="282"/>
      <c r="AO346" s="282"/>
      <c r="AP346" s="282"/>
      <c r="AQ346" s="282"/>
      <c r="AR346" s="282"/>
      <c r="AS346" s="282"/>
      <c r="AT346" s="282"/>
      <c r="AU346" s="282"/>
      <c r="AV346" s="282"/>
      <c r="AW346" s="282"/>
      <c r="AX346" s="282"/>
      <c r="AY346" s="282"/>
      <c r="AZ346" s="282"/>
      <c r="BA346" s="59"/>
      <c r="BB346" s="59"/>
      <c r="BC346" s="59"/>
      <c r="BD346" s="59"/>
      <c r="BE346" s="59"/>
      <c r="BF346" s="59"/>
      <c r="BG346" s="59"/>
    </row>
    <row r="347" spans="1:59" x14ac:dyDescent="0.25">
      <c r="A347" s="59"/>
      <c r="B347" s="282"/>
      <c r="C347" s="282"/>
      <c r="D347" s="282"/>
      <c r="E347" s="282"/>
      <c r="F347" s="282"/>
      <c r="G347" s="282"/>
      <c r="H347" s="282"/>
      <c r="I347" s="282"/>
      <c r="J347" s="282"/>
      <c r="K347" s="282"/>
      <c r="L347" s="282"/>
      <c r="M347" s="282"/>
      <c r="N347" s="282"/>
      <c r="O347" s="282"/>
      <c r="P347" s="282"/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  <c r="AC347" s="282"/>
      <c r="AD347" s="282"/>
      <c r="AE347" s="282"/>
      <c r="AF347" s="282"/>
      <c r="AG347" s="282"/>
      <c r="AH347" s="282"/>
      <c r="AI347" s="282"/>
      <c r="AJ347" s="282"/>
      <c r="AK347" s="282"/>
      <c r="AL347" s="282"/>
      <c r="AM347" s="282"/>
      <c r="AN347" s="282"/>
      <c r="AO347" s="282"/>
      <c r="AP347" s="282"/>
      <c r="AQ347" s="282"/>
      <c r="AR347" s="282"/>
      <c r="AS347" s="282"/>
      <c r="AT347" s="282"/>
      <c r="AU347" s="282"/>
      <c r="AV347" s="282"/>
      <c r="AW347" s="282"/>
      <c r="AX347" s="282"/>
      <c r="AY347" s="282"/>
      <c r="AZ347" s="282"/>
      <c r="BA347" s="59"/>
      <c r="BB347" s="59"/>
      <c r="BC347" s="59"/>
      <c r="BD347" s="59"/>
      <c r="BE347" s="59"/>
      <c r="BF347" s="59"/>
      <c r="BG347" s="59"/>
    </row>
    <row r="348" spans="1:59" x14ac:dyDescent="0.25">
      <c r="A348" s="59"/>
      <c r="B348" s="282"/>
      <c r="C348" s="282"/>
      <c r="D348" s="282"/>
      <c r="E348" s="282"/>
      <c r="F348" s="282"/>
      <c r="G348" s="282"/>
      <c r="H348" s="282"/>
      <c r="I348" s="282"/>
      <c r="J348" s="282"/>
      <c r="K348" s="282"/>
      <c r="L348" s="282"/>
      <c r="M348" s="282"/>
      <c r="N348" s="282"/>
      <c r="O348" s="282"/>
      <c r="P348" s="282"/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  <c r="AC348" s="282"/>
      <c r="AD348" s="282"/>
      <c r="AE348" s="282"/>
      <c r="AF348" s="282"/>
      <c r="AG348" s="282"/>
      <c r="AH348" s="282"/>
      <c r="AI348" s="282"/>
      <c r="AJ348" s="282"/>
      <c r="AK348" s="282"/>
      <c r="AL348" s="282"/>
      <c r="AM348" s="282"/>
      <c r="AN348" s="282"/>
      <c r="AO348" s="282"/>
      <c r="AP348" s="282"/>
      <c r="AQ348" s="282"/>
      <c r="AR348" s="282"/>
      <c r="AS348" s="282"/>
      <c r="AT348" s="282"/>
      <c r="AU348" s="282"/>
      <c r="AV348" s="282"/>
      <c r="AW348" s="282"/>
      <c r="AX348" s="282"/>
      <c r="AY348" s="282"/>
      <c r="AZ348" s="282"/>
      <c r="BA348" s="59"/>
      <c r="BB348" s="59"/>
      <c r="BC348" s="59"/>
      <c r="BD348" s="59"/>
      <c r="BE348" s="59"/>
      <c r="BF348" s="59"/>
      <c r="BG348" s="59"/>
    </row>
    <row r="349" spans="1:59" x14ac:dyDescent="0.25">
      <c r="A349" s="59"/>
      <c r="B349" s="282"/>
      <c r="C349" s="282"/>
      <c r="D349" s="282"/>
      <c r="E349" s="282"/>
      <c r="F349" s="282"/>
      <c r="G349" s="282"/>
      <c r="H349" s="282"/>
      <c r="I349" s="282"/>
      <c r="J349" s="282"/>
      <c r="K349" s="282"/>
      <c r="L349" s="282"/>
      <c r="M349" s="282"/>
      <c r="N349" s="282"/>
      <c r="O349" s="282"/>
      <c r="P349" s="282"/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  <c r="AC349" s="282"/>
      <c r="AD349" s="282"/>
      <c r="AE349" s="282"/>
      <c r="AF349" s="282"/>
      <c r="AG349" s="282"/>
      <c r="AH349" s="282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282"/>
      <c r="AT349" s="282"/>
      <c r="AU349" s="282"/>
      <c r="AV349" s="282"/>
      <c r="AW349" s="282"/>
      <c r="AX349" s="282"/>
      <c r="AY349" s="282"/>
      <c r="AZ349" s="282"/>
      <c r="BA349" s="59"/>
      <c r="BB349" s="59"/>
      <c r="BC349" s="59"/>
      <c r="BD349" s="59"/>
      <c r="BE349" s="59"/>
      <c r="BF349" s="59"/>
      <c r="BG349" s="59"/>
    </row>
    <row r="350" spans="1:59" x14ac:dyDescent="0.25">
      <c r="A350" s="59"/>
      <c r="B350" s="282"/>
      <c r="C350" s="282"/>
      <c r="D350" s="282"/>
      <c r="E350" s="282"/>
      <c r="F350" s="282"/>
      <c r="G350" s="282"/>
      <c r="H350" s="282"/>
      <c r="I350" s="282"/>
      <c r="J350" s="282"/>
      <c r="K350" s="282"/>
      <c r="L350" s="282"/>
      <c r="M350" s="282"/>
      <c r="N350" s="282"/>
      <c r="O350" s="282"/>
      <c r="P350" s="282"/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  <c r="AC350" s="282"/>
      <c r="AD350" s="282"/>
      <c r="AE350" s="282"/>
      <c r="AF350" s="282"/>
      <c r="AG350" s="282"/>
      <c r="AH350" s="282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282"/>
      <c r="AT350" s="282"/>
      <c r="AU350" s="282"/>
      <c r="AV350" s="282"/>
      <c r="AW350" s="282"/>
      <c r="AX350" s="282"/>
      <c r="AY350" s="282"/>
      <c r="AZ350" s="282"/>
      <c r="BA350" s="59"/>
      <c r="BB350" s="59"/>
      <c r="BC350" s="59"/>
      <c r="BD350" s="59"/>
      <c r="BE350" s="59"/>
      <c r="BF350" s="59"/>
      <c r="BG350" s="59"/>
    </row>
    <row r="351" spans="1:59" x14ac:dyDescent="0.25">
      <c r="A351" s="59"/>
      <c r="B351" s="282"/>
      <c r="C351" s="282"/>
      <c r="D351" s="282"/>
      <c r="E351" s="282"/>
      <c r="F351" s="282"/>
      <c r="G351" s="282"/>
      <c r="H351" s="282"/>
      <c r="I351" s="282"/>
      <c r="J351" s="282"/>
      <c r="K351" s="282"/>
      <c r="L351" s="282"/>
      <c r="M351" s="282"/>
      <c r="N351" s="282"/>
      <c r="O351" s="282"/>
      <c r="P351" s="282"/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  <c r="AC351" s="282"/>
      <c r="AD351" s="282"/>
      <c r="AE351" s="282"/>
      <c r="AF351" s="282"/>
      <c r="AG351" s="282"/>
      <c r="AH351" s="282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282"/>
      <c r="AT351" s="282"/>
      <c r="AU351" s="282"/>
      <c r="AV351" s="282"/>
      <c r="AW351" s="282"/>
      <c r="AX351" s="282"/>
      <c r="AY351" s="282"/>
      <c r="AZ351" s="282"/>
      <c r="BA351" s="59"/>
      <c r="BB351" s="59"/>
      <c r="BC351" s="59"/>
      <c r="BD351" s="59"/>
      <c r="BE351" s="59"/>
      <c r="BF351" s="59"/>
      <c r="BG351" s="59"/>
    </row>
    <row r="352" spans="1:59" x14ac:dyDescent="0.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</row>
    <row r="353" spans="1:59" x14ac:dyDescent="0.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</row>
    <row r="354" spans="1:59" x14ac:dyDescent="0.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</row>
    <row r="355" spans="1:59" x14ac:dyDescent="0.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</row>
    <row r="356" spans="1:59" x14ac:dyDescent="0.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</row>
    <row r="357" spans="1:59" x14ac:dyDescent="0.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</row>
    <row r="358" spans="1:59" x14ac:dyDescent="0.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</row>
    <row r="359" spans="1:59" x14ac:dyDescent="0.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</row>
    <row r="360" spans="1:59" x14ac:dyDescent="0.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</row>
    <row r="361" spans="1:59" x14ac:dyDescent="0.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</row>
    <row r="362" spans="1:59" x14ac:dyDescent="0.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</row>
    <row r="363" spans="1:59" x14ac:dyDescent="0.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</row>
    <row r="364" spans="1:59" x14ac:dyDescent="0.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</row>
    <row r="365" spans="1:59" x14ac:dyDescent="0.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</row>
    <row r="366" spans="1:59" x14ac:dyDescent="0.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</row>
    <row r="367" spans="1:59" x14ac:dyDescent="0.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</row>
    <row r="368" spans="1:59" x14ac:dyDescent="0.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</row>
    <row r="369" spans="1:59" x14ac:dyDescent="0.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</row>
    <row r="370" spans="1:59" x14ac:dyDescent="0.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</row>
    <row r="371" spans="1:59" x14ac:dyDescent="0.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</row>
    <row r="372" spans="1:59" x14ac:dyDescent="0.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</row>
    <row r="373" spans="1:59" x14ac:dyDescent="0.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</row>
    <row r="374" spans="1:59" x14ac:dyDescent="0.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</row>
    <row r="375" spans="1:59" x14ac:dyDescent="0.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</row>
    <row r="376" spans="1:59" x14ac:dyDescent="0.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</row>
    <row r="377" spans="1:59" x14ac:dyDescent="0.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</row>
    <row r="378" spans="1:59" x14ac:dyDescent="0.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</row>
    <row r="379" spans="1:59" x14ac:dyDescent="0.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</row>
    <row r="380" spans="1:59" x14ac:dyDescent="0.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</row>
    <row r="381" spans="1:59" x14ac:dyDescent="0.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</row>
    <row r="382" spans="1:59" x14ac:dyDescent="0.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</row>
    <row r="383" spans="1:59" x14ac:dyDescent="0.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</row>
    <row r="384" spans="1:59" x14ac:dyDescent="0.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</row>
    <row r="385" spans="1:59" x14ac:dyDescent="0.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</row>
    <row r="386" spans="1:59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</row>
    <row r="387" spans="1:59" x14ac:dyDescent="0.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</row>
    <row r="388" spans="1:59" x14ac:dyDescent="0.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</row>
    <row r="389" spans="1:59" x14ac:dyDescent="0.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</row>
    <row r="390" spans="1:59" x14ac:dyDescent="0.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</row>
    <row r="391" spans="1:59" x14ac:dyDescent="0.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</row>
    <row r="392" spans="1:59" x14ac:dyDescent="0.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</row>
    <row r="393" spans="1:59" x14ac:dyDescent="0.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</row>
    <row r="394" spans="1:59" x14ac:dyDescent="0.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</row>
    <row r="395" spans="1:59" x14ac:dyDescent="0.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</row>
    <row r="396" spans="1:59" x14ac:dyDescent="0.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</row>
    <row r="397" spans="1:59" x14ac:dyDescent="0.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</row>
    <row r="398" spans="1:59" x14ac:dyDescent="0.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</row>
    <row r="399" spans="1:59" x14ac:dyDescent="0.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</row>
    <row r="400" spans="1:59" x14ac:dyDescent="0.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</row>
    <row r="401" spans="1:59" x14ac:dyDescent="0.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</row>
    <row r="402" spans="1:59" x14ac:dyDescent="0.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</row>
    <row r="403" spans="1:59" x14ac:dyDescent="0.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</row>
    <row r="404" spans="1:59" x14ac:dyDescent="0.25"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</row>
    <row r="405" spans="1:59" x14ac:dyDescent="0.25"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</row>
    <row r="406" spans="1:59" x14ac:dyDescent="0.25"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</row>
    <row r="407" spans="1:59" x14ac:dyDescent="0.25"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</row>
    <row r="408" spans="1:59" x14ac:dyDescent="0.25"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</row>
    <row r="409" spans="1:59" x14ac:dyDescent="0.25"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</row>
    <row r="410" spans="1:59" x14ac:dyDescent="0.25"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</row>
    <row r="411" spans="1:59" x14ac:dyDescent="0.25"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</row>
    <row r="412" spans="1:59" x14ac:dyDescent="0.25"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</row>
    <row r="413" spans="1:59" x14ac:dyDescent="0.25"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</row>
    <row r="414" spans="1:59" x14ac:dyDescent="0.25"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</row>
    <row r="415" spans="1:59" x14ac:dyDescent="0.25"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</row>
    <row r="416" spans="1:59" x14ac:dyDescent="0.25"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</row>
    <row r="417" spans="2:43" x14ac:dyDescent="0.25"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</row>
    <row r="418" spans="2:43" x14ac:dyDescent="0.25"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</row>
    <row r="419" spans="2:43" x14ac:dyDescent="0.25"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</row>
    <row r="420" spans="2:43" x14ac:dyDescent="0.25"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</row>
    <row r="421" spans="2:43" x14ac:dyDescent="0.25"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</row>
    <row r="422" spans="2:43" x14ac:dyDescent="0.25"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</row>
    <row r="423" spans="2:43" x14ac:dyDescent="0.25"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</row>
    <row r="424" spans="2:43" x14ac:dyDescent="0.25"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</row>
    <row r="425" spans="2:43" x14ac:dyDescent="0.25"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</row>
    <row r="426" spans="2:43" x14ac:dyDescent="0.25"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</row>
    <row r="427" spans="2:43" x14ac:dyDescent="0.25"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</row>
    <row r="428" spans="2:43" x14ac:dyDescent="0.25"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</row>
    <row r="429" spans="2:43" x14ac:dyDescent="0.25"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</row>
    <row r="430" spans="2:43" x14ac:dyDescent="0.25"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</row>
    <row r="431" spans="2:43" x14ac:dyDescent="0.25"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</row>
    <row r="432" spans="2:43" x14ac:dyDescent="0.25"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</row>
    <row r="433" spans="2:43" x14ac:dyDescent="0.25"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</row>
    <row r="434" spans="2:43" x14ac:dyDescent="0.25"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</row>
    <row r="435" spans="2:43" x14ac:dyDescent="0.25"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</row>
    <row r="436" spans="2:43" x14ac:dyDescent="0.25"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</row>
    <row r="437" spans="2:43" x14ac:dyDescent="0.25"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</row>
    <row r="438" spans="2:43" x14ac:dyDescent="0.25"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</row>
    <row r="439" spans="2:43" x14ac:dyDescent="0.25"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</row>
    <row r="440" spans="2:43" x14ac:dyDescent="0.25"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</row>
    <row r="441" spans="2:43" x14ac:dyDescent="0.25"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</row>
    <row r="442" spans="2:43" x14ac:dyDescent="0.25"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</row>
    <row r="443" spans="2:43" x14ac:dyDescent="0.25"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</row>
    <row r="444" spans="2:43" x14ac:dyDescent="0.25"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</row>
    <row r="445" spans="2:43" x14ac:dyDescent="0.25"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</row>
    <row r="446" spans="2:43" x14ac:dyDescent="0.25"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</row>
    <row r="447" spans="2:43" x14ac:dyDescent="0.25"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</row>
    <row r="448" spans="2:43" x14ac:dyDescent="0.25"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</row>
    <row r="449" spans="2:43" x14ac:dyDescent="0.25"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</row>
    <row r="450" spans="2:43" x14ac:dyDescent="0.25"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</row>
    <row r="451" spans="2:43" x14ac:dyDescent="0.25"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</row>
    <row r="452" spans="2:43" x14ac:dyDescent="0.25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</row>
    <row r="453" spans="2:43" x14ac:dyDescent="0.25"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</row>
    <row r="454" spans="2:43" x14ac:dyDescent="0.25"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</row>
    <row r="455" spans="2:43" x14ac:dyDescent="0.25"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</row>
    <row r="456" spans="2:43" x14ac:dyDescent="0.25"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</row>
    <row r="457" spans="2:43" x14ac:dyDescent="0.25"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</row>
    <row r="458" spans="2:43" x14ac:dyDescent="0.25"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</row>
    <row r="459" spans="2:43" x14ac:dyDescent="0.25"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</row>
    <row r="460" spans="2:43" x14ac:dyDescent="0.25"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</row>
    <row r="461" spans="2:43" x14ac:dyDescent="0.25"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</row>
    <row r="462" spans="2:43" x14ac:dyDescent="0.25"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</row>
    <row r="463" spans="2:43" x14ac:dyDescent="0.25"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</row>
    <row r="464" spans="2:43" x14ac:dyDescent="0.25"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</row>
    <row r="465" spans="2:43" x14ac:dyDescent="0.25"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</row>
    <row r="466" spans="2:43" x14ac:dyDescent="0.25"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</row>
    <row r="467" spans="2:43" x14ac:dyDescent="0.25"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</row>
    <row r="468" spans="2:43" x14ac:dyDescent="0.25"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</row>
    <row r="469" spans="2:43" x14ac:dyDescent="0.25"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</row>
    <row r="470" spans="2:43" x14ac:dyDescent="0.25"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</row>
    <row r="471" spans="2:43" x14ac:dyDescent="0.25"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</row>
    <row r="472" spans="2:43" x14ac:dyDescent="0.25"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</row>
    <row r="473" spans="2:43" x14ac:dyDescent="0.25"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</row>
    <row r="474" spans="2:43" x14ac:dyDescent="0.25"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</row>
    <row r="475" spans="2:43" x14ac:dyDescent="0.25"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</row>
    <row r="476" spans="2:43" x14ac:dyDescent="0.25"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</row>
    <row r="477" spans="2:43" x14ac:dyDescent="0.25"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</row>
    <row r="478" spans="2:43" x14ac:dyDescent="0.25"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</row>
    <row r="479" spans="2:43" x14ac:dyDescent="0.25"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</row>
    <row r="480" spans="2:43" x14ac:dyDescent="0.25"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</row>
    <row r="481" spans="2:43" x14ac:dyDescent="0.25"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</row>
    <row r="482" spans="2:43" x14ac:dyDescent="0.25"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</row>
    <row r="483" spans="2:43" x14ac:dyDescent="0.25"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</row>
    <row r="484" spans="2:43" x14ac:dyDescent="0.25"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</row>
    <row r="485" spans="2:43" x14ac:dyDescent="0.25"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</row>
    <row r="486" spans="2:43" x14ac:dyDescent="0.25"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</row>
    <row r="487" spans="2:43" x14ac:dyDescent="0.25"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</row>
    <row r="488" spans="2:43" x14ac:dyDescent="0.25"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</row>
    <row r="489" spans="2:43" x14ac:dyDescent="0.25"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</row>
    <row r="490" spans="2:43" x14ac:dyDescent="0.25"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</row>
    <row r="491" spans="2:43" x14ac:dyDescent="0.25"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</row>
    <row r="492" spans="2:43" x14ac:dyDescent="0.25"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</row>
    <row r="493" spans="2:43" x14ac:dyDescent="0.25"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</row>
    <row r="494" spans="2:43" x14ac:dyDescent="0.25"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</row>
    <row r="495" spans="2:43" x14ac:dyDescent="0.25"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</row>
    <row r="496" spans="2:43" x14ac:dyDescent="0.25"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</row>
    <row r="497" spans="2:43" x14ac:dyDescent="0.25"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</row>
    <row r="498" spans="2:43" x14ac:dyDescent="0.25"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</row>
    <row r="499" spans="2:43" x14ac:dyDescent="0.25"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</row>
    <row r="500" spans="2:43" x14ac:dyDescent="0.25"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</row>
    <row r="501" spans="2:43" x14ac:dyDescent="0.25"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</row>
    <row r="502" spans="2:43" x14ac:dyDescent="0.25"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</row>
    <row r="503" spans="2:43" x14ac:dyDescent="0.25"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</row>
    <row r="504" spans="2:43" x14ac:dyDescent="0.25"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</row>
    <row r="505" spans="2:43" x14ac:dyDescent="0.25"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</row>
    <row r="506" spans="2:43" x14ac:dyDescent="0.25"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</row>
    <row r="507" spans="2:43" x14ac:dyDescent="0.25"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</row>
    <row r="508" spans="2:43" x14ac:dyDescent="0.25"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</row>
    <row r="509" spans="2:43" x14ac:dyDescent="0.25"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</row>
    <row r="510" spans="2:43" x14ac:dyDescent="0.25"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</row>
    <row r="511" spans="2:43" x14ac:dyDescent="0.25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</row>
    <row r="512" spans="2:43" x14ac:dyDescent="0.25"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</row>
    <row r="513" spans="2:43" x14ac:dyDescent="0.25"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</row>
    <row r="514" spans="2:43" x14ac:dyDescent="0.25"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</row>
    <row r="515" spans="2:43" x14ac:dyDescent="0.25"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</row>
    <row r="516" spans="2:43" x14ac:dyDescent="0.25"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</row>
    <row r="517" spans="2:43" x14ac:dyDescent="0.25"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</row>
    <row r="518" spans="2:43" x14ac:dyDescent="0.25"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</row>
    <row r="519" spans="2:43" x14ac:dyDescent="0.25"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</row>
    <row r="520" spans="2:43" x14ac:dyDescent="0.25"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</row>
    <row r="521" spans="2:43" x14ac:dyDescent="0.25"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</row>
    <row r="522" spans="2:43" x14ac:dyDescent="0.25"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</row>
    <row r="523" spans="2:43" x14ac:dyDescent="0.25"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</row>
  </sheetData>
  <dataConsolidate/>
  <mergeCells count="94">
    <mergeCell ref="P30:R30"/>
    <mergeCell ref="B248:E248"/>
    <mergeCell ref="B249:D249"/>
    <mergeCell ref="G30:I30"/>
    <mergeCell ref="J30:L30"/>
    <mergeCell ref="K31:L31"/>
    <mergeCell ref="K32:L32"/>
    <mergeCell ref="K33:L33"/>
    <mergeCell ref="K47:L47"/>
    <mergeCell ref="K38:L38"/>
    <mergeCell ref="Q35:R35"/>
    <mergeCell ref="Q36:R36"/>
    <mergeCell ref="Q37:R37"/>
    <mergeCell ref="Q43:R43"/>
    <mergeCell ref="K34:L34"/>
    <mergeCell ref="K35:L35"/>
    <mergeCell ref="A1:D1"/>
    <mergeCell ref="A2:C2"/>
    <mergeCell ref="B251:D251"/>
    <mergeCell ref="A30:A31"/>
    <mergeCell ref="B30:C30"/>
    <mergeCell ref="D30:E30"/>
    <mergeCell ref="B250:D250"/>
    <mergeCell ref="A3:C3"/>
    <mergeCell ref="AG30:AJ30"/>
    <mergeCell ref="Q31:R31"/>
    <mergeCell ref="K37:L37"/>
    <mergeCell ref="B263:D263"/>
    <mergeCell ref="B252:D252"/>
    <mergeCell ref="B253:D253"/>
    <mergeCell ref="B254:D254"/>
    <mergeCell ref="B255:D255"/>
    <mergeCell ref="F30:F31"/>
    <mergeCell ref="M30:O30"/>
    <mergeCell ref="B256:D256"/>
    <mergeCell ref="B257:D257"/>
    <mergeCell ref="B258:D258"/>
    <mergeCell ref="Q32:R32"/>
    <mergeCell ref="Q33:R33"/>
    <mergeCell ref="Q34:R34"/>
    <mergeCell ref="B271:D271"/>
    <mergeCell ref="B272:D272"/>
    <mergeCell ref="B273:D273"/>
    <mergeCell ref="B274:D274"/>
    <mergeCell ref="K36:L36"/>
    <mergeCell ref="B259:D259"/>
    <mergeCell ref="B260:D260"/>
    <mergeCell ref="B261:D261"/>
    <mergeCell ref="B262:D262"/>
    <mergeCell ref="K44:L44"/>
    <mergeCell ref="K45:L45"/>
    <mergeCell ref="K46:L46"/>
    <mergeCell ref="K39:L39"/>
    <mergeCell ref="K40:L40"/>
    <mergeCell ref="K41:L41"/>
    <mergeCell ref="K42:L42"/>
    <mergeCell ref="B280:D280"/>
    <mergeCell ref="B281:D281"/>
    <mergeCell ref="B282:D282"/>
    <mergeCell ref="B283:D283"/>
    <mergeCell ref="B284:D284"/>
    <mergeCell ref="B295:D295"/>
    <mergeCell ref="B288:D288"/>
    <mergeCell ref="B289:D289"/>
    <mergeCell ref="B290:D290"/>
    <mergeCell ref="B291:D291"/>
    <mergeCell ref="B292:D292"/>
    <mergeCell ref="B293:D293"/>
    <mergeCell ref="B294:D294"/>
    <mergeCell ref="B287:D287"/>
    <mergeCell ref="B276:D276"/>
    <mergeCell ref="B277:D277"/>
    <mergeCell ref="B278:D278"/>
    <mergeCell ref="K43:L43"/>
    <mergeCell ref="B285:D285"/>
    <mergeCell ref="B286:D286"/>
    <mergeCell ref="B275:D275"/>
    <mergeCell ref="B264:D264"/>
    <mergeCell ref="B265:D265"/>
    <mergeCell ref="B266:D266"/>
    <mergeCell ref="B267:D267"/>
    <mergeCell ref="B268:D268"/>
    <mergeCell ref="B269:D269"/>
    <mergeCell ref="B270:D270"/>
    <mergeCell ref="B279:D279"/>
    <mergeCell ref="Q46:R46"/>
    <mergeCell ref="Q47:R47"/>
    <mergeCell ref="Q38:R38"/>
    <mergeCell ref="Q39:R39"/>
    <mergeCell ref="Q40:R40"/>
    <mergeCell ref="Q41:R41"/>
    <mergeCell ref="Q42:R42"/>
    <mergeCell ref="Q44:R44"/>
    <mergeCell ref="Q45:R45"/>
  </mergeCells>
  <conditionalFormatting sqref="AM53">
    <cfRule type="cellIs" dxfId="257" priority="403" operator="equal">
      <formula>IF($AL$53&gt;$AN$53,$AM$53,)</formula>
    </cfRule>
  </conditionalFormatting>
  <conditionalFormatting sqref="AM54">
    <cfRule type="cellIs" dxfId="256" priority="402" operator="equal">
      <formula>IF($AL$54&gt;$AN$54,$AM$54,)</formula>
    </cfRule>
  </conditionalFormatting>
  <conditionalFormatting sqref="AM55">
    <cfRule type="cellIs" dxfId="255" priority="401" operator="equal">
      <formula>IF($AL$55&gt;$AN$55,$AM$55,)</formula>
    </cfRule>
  </conditionalFormatting>
  <conditionalFormatting sqref="AM56">
    <cfRule type="cellIs" dxfId="254" priority="400" operator="equal">
      <formula>IF($AL$56&gt;$AN$56,$AM$56,)</formula>
    </cfRule>
  </conditionalFormatting>
  <conditionalFormatting sqref="AM57">
    <cfRule type="cellIs" dxfId="253" priority="399" operator="equal">
      <formula>IF($AL$57&gt;$AN$57,$AM$57,)</formula>
    </cfRule>
  </conditionalFormatting>
  <conditionalFormatting sqref="AM52">
    <cfRule type="cellIs" dxfId="252" priority="393" operator="equal">
      <formula>IF($AL$52&gt;$AN$52,$AM$52,)</formula>
    </cfRule>
  </conditionalFormatting>
  <conditionalFormatting sqref="AM62">
    <cfRule type="cellIs" dxfId="251" priority="392" operator="equal">
      <formula>IF($AL$62&gt;$AN$62,$AM$62,)</formula>
    </cfRule>
  </conditionalFormatting>
  <conditionalFormatting sqref="AM63">
    <cfRule type="cellIs" dxfId="250" priority="391" operator="equal">
      <formula>IF($AL$63&gt;$AN$63,$AM$63,)</formula>
    </cfRule>
  </conditionalFormatting>
  <conditionalFormatting sqref="AM64">
    <cfRule type="cellIs" dxfId="249" priority="390" operator="equal">
      <formula>IF($AL$64&gt;$AN$64,$AM$64,)</formula>
    </cfRule>
  </conditionalFormatting>
  <conditionalFormatting sqref="AM66">
    <cfRule type="cellIs" dxfId="248" priority="388" operator="equal">
      <formula>IF($AL$66&gt;$AN$66,$AM$66,)</formula>
    </cfRule>
  </conditionalFormatting>
  <conditionalFormatting sqref="AM61">
    <cfRule type="cellIs" dxfId="247" priority="387" operator="equal">
      <formula>IF($AL$61&gt;$AN$61,$AM$61,)</formula>
    </cfRule>
  </conditionalFormatting>
  <conditionalFormatting sqref="AM71">
    <cfRule type="cellIs" dxfId="246" priority="386" operator="equal">
      <formula>IF($AL$71&gt;$AN$71,$AM$71,)</formula>
    </cfRule>
  </conditionalFormatting>
  <conditionalFormatting sqref="AM72">
    <cfRule type="cellIs" dxfId="245" priority="385" operator="equal">
      <formula>IF($AL$72&gt;$AN$72,$AM$72,)</formula>
    </cfRule>
  </conditionalFormatting>
  <conditionalFormatting sqref="AM73">
    <cfRule type="cellIs" dxfId="244" priority="384" operator="equal">
      <formula>IF($AL$73&gt;$AN$73,$AM$73,)</formula>
    </cfRule>
  </conditionalFormatting>
  <conditionalFormatting sqref="AM75 AM84">
    <cfRule type="cellIs" dxfId="243" priority="382" operator="equal">
      <formula>IF($AL$75&gt;$AN$75,$AM$75,)</formula>
    </cfRule>
  </conditionalFormatting>
  <conditionalFormatting sqref="AM70">
    <cfRule type="cellIs" dxfId="242" priority="381" operator="equal">
      <formula>IF($AL$70&gt;$AN$70,$AM$70,)</formula>
    </cfRule>
  </conditionalFormatting>
  <conditionalFormatting sqref="AM80">
    <cfRule type="cellIs" dxfId="241" priority="380" operator="equal">
      <formula>IF($AL$80&gt;$AN$80,$AM$80,)</formula>
    </cfRule>
  </conditionalFormatting>
  <conditionalFormatting sqref="AM81">
    <cfRule type="cellIs" dxfId="240" priority="379" operator="equal">
      <formula>IF($AL$81&gt;$AN$81,$AM$81,)</formula>
    </cfRule>
  </conditionalFormatting>
  <conditionalFormatting sqref="AM82">
    <cfRule type="cellIs" dxfId="239" priority="378" operator="equal">
      <formula>IF($AL$82&gt;$AN$82,$AM$82,)</formula>
    </cfRule>
  </conditionalFormatting>
  <conditionalFormatting sqref="AM79">
    <cfRule type="cellIs" dxfId="238" priority="376" operator="equal">
      <formula>IF($AL$79&gt;$AN$79,$AM$79,)</formula>
    </cfRule>
  </conditionalFormatting>
  <conditionalFormatting sqref="AM65">
    <cfRule type="cellIs" dxfId="237" priority="375" operator="equal">
      <formula>IF($AL$65&gt;$AN$65,$AM$65,)</formula>
    </cfRule>
  </conditionalFormatting>
  <conditionalFormatting sqref="AM74">
    <cfRule type="cellIs" dxfId="236" priority="374" operator="equal">
      <formula>IF($AL$74&gt;$AN$74,$AM$74,)</formula>
    </cfRule>
  </conditionalFormatting>
  <conditionalFormatting sqref="AM83">
    <cfRule type="cellIs" dxfId="235" priority="373" operator="equal">
      <formula>IF($AL$83&gt;$AN$83,$AM$83,)</formula>
    </cfRule>
  </conditionalFormatting>
  <conditionalFormatting sqref="AM89">
    <cfRule type="cellIs" dxfId="234" priority="372" operator="equal">
      <formula>IF($AL$89&gt;$AN$89,$AM$89,)</formula>
    </cfRule>
  </conditionalFormatting>
  <conditionalFormatting sqref="AM90">
    <cfRule type="cellIs" dxfId="233" priority="371" operator="equal">
      <formula>IF($AL$90&gt;$AN$90,$AM$90,)</formula>
    </cfRule>
  </conditionalFormatting>
  <conditionalFormatting sqref="AM91">
    <cfRule type="cellIs" dxfId="232" priority="370" operator="equal">
      <formula>IF($AL$91&gt;$AN$91,$AM$91,)</formula>
    </cfRule>
  </conditionalFormatting>
  <conditionalFormatting sqref="AM93">
    <cfRule type="cellIs" dxfId="231" priority="369" operator="equal">
      <formula>IF($AL$93&gt;$AN$93,$AM$93,)</formula>
    </cfRule>
  </conditionalFormatting>
  <conditionalFormatting sqref="AM88">
    <cfRule type="cellIs" dxfId="230" priority="368" operator="equal">
      <formula>IF($AL$88&gt;$AN$88,$AM$88,)</formula>
    </cfRule>
  </conditionalFormatting>
  <conditionalFormatting sqref="AM92">
    <cfRule type="cellIs" dxfId="229" priority="367" operator="equal">
      <formula>IF($AL$92&gt;$AN$92,$AM$92,)</formula>
    </cfRule>
  </conditionalFormatting>
  <conditionalFormatting sqref="AM98">
    <cfRule type="cellIs" dxfId="228" priority="366" operator="equal">
      <formula>IF($AL$98&gt;$AN$98,$AM$98,)</formula>
    </cfRule>
  </conditionalFormatting>
  <conditionalFormatting sqref="AM99">
    <cfRule type="cellIs" dxfId="227" priority="365" operator="equal">
      <formula>IF($AL$99&gt;$AN$99,$AM$99,)</formula>
    </cfRule>
  </conditionalFormatting>
  <conditionalFormatting sqref="AM100">
    <cfRule type="cellIs" dxfId="226" priority="364" operator="equal">
      <formula>IF($AL$100&gt;$AN$100,$AM$100,)</formula>
    </cfRule>
  </conditionalFormatting>
  <conditionalFormatting sqref="AM102">
    <cfRule type="cellIs" dxfId="225" priority="363" operator="equal">
      <formula>IF($AL$102&gt;$AN$102,$AM$102,)</formula>
    </cfRule>
  </conditionalFormatting>
  <conditionalFormatting sqref="AM97">
    <cfRule type="cellIs" dxfId="224" priority="362" operator="equal">
      <formula>IF($AL$97&gt;$AN$97,$AM$97,)</formula>
    </cfRule>
  </conditionalFormatting>
  <conditionalFormatting sqref="AM101">
    <cfRule type="cellIs" dxfId="223" priority="361" operator="equal">
      <formula>IF($AL$101&gt;$AN$101,$AM$101,)</formula>
    </cfRule>
  </conditionalFormatting>
  <conditionalFormatting sqref="AM107">
    <cfRule type="cellIs" dxfId="222" priority="360" operator="equal">
      <formula>IF($AL$107&gt;$AN$107,$AM$107,)</formula>
    </cfRule>
  </conditionalFormatting>
  <conditionalFormatting sqref="AM108">
    <cfRule type="cellIs" dxfId="221" priority="359" operator="equal">
      <formula>IF($AL$108&gt;$AN$108,$AM$108,)</formula>
    </cfRule>
  </conditionalFormatting>
  <conditionalFormatting sqref="AM109">
    <cfRule type="cellIs" dxfId="220" priority="358" operator="equal">
      <formula>IF($AL$109&gt;$AN$109,$AM$109,)</formula>
    </cfRule>
  </conditionalFormatting>
  <conditionalFormatting sqref="AM111">
    <cfRule type="cellIs" dxfId="219" priority="357" operator="equal">
      <formula>IF($AL$111&gt;$AN$111,$AM$111,)</formula>
    </cfRule>
  </conditionalFormatting>
  <conditionalFormatting sqref="AM106">
    <cfRule type="cellIs" dxfId="218" priority="356" operator="equal">
      <formula>IF($AL$106&gt;$AN$106,$AM$106,)</formula>
    </cfRule>
  </conditionalFormatting>
  <conditionalFormatting sqref="AM110">
    <cfRule type="cellIs" dxfId="217" priority="355" operator="equal">
      <formula>IF($AL$110&gt;$AN$110,$AM$110,)</formula>
    </cfRule>
  </conditionalFormatting>
  <conditionalFormatting sqref="AM116">
    <cfRule type="cellIs" dxfId="216" priority="354" operator="equal">
      <formula>IF($AL$116&gt;$AN$116,$AM$116,)</formula>
    </cfRule>
  </conditionalFormatting>
  <conditionalFormatting sqref="AM117">
    <cfRule type="cellIs" dxfId="215" priority="353" operator="equal">
      <formula>IF($AL$117&gt;$AN$117,$AM$117,)</formula>
    </cfRule>
  </conditionalFormatting>
  <conditionalFormatting sqref="AM118">
    <cfRule type="cellIs" dxfId="214" priority="352" operator="equal">
      <formula>IF($AL$118&gt;$AN$118,$AM$118,)</formula>
    </cfRule>
  </conditionalFormatting>
  <conditionalFormatting sqref="AM120">
    <cfRule type="cellIs" dxfId="213" priority="351" operator="equal">
      <formula>IF($AL$120&gt;$AN$120,$AM$120,)</formula>
    </cfRule>
  </conditionalFormatting>
  <conditionalFormatting sqref="AM115">
    <cfRule type="cellIs" dxfId="212" priority="350" operator="equal">
      <formula>IF($AL$115&gt;$AN$115,$AM$115,)</formula>
    </cfRule>
  </conditionalFormatting>
  <conditionalFormatting sqref="AM119">
    <cfRule type="cellIs" dxfId="211" priority="349" operator="equal">
      <formula>IF($AL$119&gt;$AN$119,$AM$119,)</formula>
    </cfRule>
  </conditionalFormatting>
  <conditionalFormatting sqref="AM125">
    <cfRule type="cellIs" dxfId="210" priority="348" operator="equal">
      <formula>IF($AL$125&gt;$AN$125,$AM$125,)</formula>
    </cfRule>
  </conditionalFormatting>
  <conditionalFormatting sqref="AM126">
    <cfRule type="cellIs" dxfId="209" priority="347" operator="equal">
      <formula>IF($AL$126&gt;$AN$126,$AM$126,)</formula>
    </cfRule>
  </conditionalFormatting>
  <conditionalFormatting sqref="AM127">
    <cfRule type="cellIs" dxfId="208" priority="346" operator="equal">
      <formula>IF($AL$127&gt;$AN$127,$AM$127,)</formula>
    </cfRule>
  </conditionalFormatting>
  <conditionalFormatting sqref="AM129">
    <cfRule type="cellIs" dxfId="207" priority="345" operator="equal">
      <formula>IF($AL$129&gt;$AN$129,$AM$129,)</formula>
    </cfRule>
  </conditionalFormatting>
  <conditionalFormatting sqref="AM124">
    <cfRule type="cellIs" dxfId="206" priority="344" operator="equal">
      <formula>IF($AL$124&gt;$AN$124,$AM$124,)</formula>
    </cfRule>
  </conditionalFormatting>
  <conditionalFormatting sqref="AM128">
    <cfRule type="cellIs" dxfId="205" priority="343" operator="equal">
      <formula>IF($AL$128&gt;$AN$128,$AM$128,)</formula>
    </cfRule>
  </conditionalFormatting>
  <conditionalFormatting sqref="AM134">
    <cfRule type="cellIs" dxfId="204" priority="342" operator="equal">
      <formula>IF($AL$134&gt;$AN$134,$AM$134,)</formula>
    </cfRule>
  </conditionalFormatting>
  <conditionalFormatting sqref="AM135">
    <cfRule type="cellIs" dxfId="203" priority="341" operator="equal">
      <formula>IF($AL$135&gt;$AN$135,$AM$135,)</formula>
    </cfRule>
  </conditionalFormatting>
  <conditionalFormatting sqref="AM136">
    <cfRule type="cellIs" dxfId="202" priority="340" operator="equal">
      <formula>IF($AL$136&gt;$AN$136,$AM$136,)</formula>
    </cfRule>
  </conditionalFormatting>
  <conditionalFormatting sqref="AM138">
    <cfRule type="cellIs" dxfId="201" priority="339" operator="equal">
      <formula>IF($AL$138&gt;$AN$138,$AM$138,)</formula>
    </cfRule>
  </conditionalFormatting>
  <conditionalFormatting sqref="AM133">
    <cfRule type="cellIs" dxfId="200" priority="338" operator="equal">
      <formula>IF($AL$133&gt;$AN$133,$AM$133,)</formula>
    </cfRule>
  </conditionalFormatting>
  <conditionalFormatting sqref="AM137">
    <cfRule type="cellIs" dxfId="199" priority="337" operator="equal">
      <formula>IF($AL$137&gt;$AN$137,$AM$137,)</formula>
    </cfRule>
  </conditionalFormatting>
  <conditionalFormatting sqref="AM143">
    <cfRule type="cellIs" dxfId="198" priority="336" operator="equal">
      <formula>IF($AL$143&gt;$AN$143,$AM$143,)</formula>
    </cfRule>
  </conditionalFormatting>
  <conditionalFormatting sqref="AM144">
    <cfRule type="cellIs" dxfId="197" priority="335" operator="equal">
      <formula>IF($AL$144&gt;$AN$144,$AM$144,)</formula>
    </cfRule>
  </conditionalFormatting>
  <conditionalFormatting sqref="AM145">
    <cfRule type="cellIs" dxfId="196" priority="334" operator="equal">
      <formula>IF($AL$145&gt;$AN$145,$AM$145,)</formula>
    </cfRule>
  </conditionalFormatting>
  <conditionalFormatting sqref="AM147">
    <cfRule type="cellIs" dxfId="195" priority="333" operator="equal">
      <formula>IF($AL$147&gt;$AN$147,$AM$147,)</formula>
    </cfRule>
  </conditionalFormatting>
  <conditionalFormatting sqref="AM142">
    <cfRule type="cellIs" dxfId="194" priority="332" operator="equal">
      <formula>IF($AL$142&gt;$AN$142,$AM$142,)</formula>
    </cfRule>
  </conditionalFormatting>
  <conditionalFormatting sqref="AM146">
    <cfRule type="cellIs" dxfId="193" priority="331" operator="equal">
      <formula>IF($AL$146&gt;$AN$146,$AM$146,)</formula>
    </cfRule>
  </conditionalFormatting>
  <conditionalFormatting sqref="AM152">
    <cfRule type="cellIs" dxfId="192" priority="330" operator="equal">
      <formula>IF($AL$152&gt;$AN$152,$AM$152,)</formula>
    </cfRule>
  </conditionalFormatting>
  <conditionalFormatting sqref="AM153">
    <cfRule type="cellIs" dxfId="191" priority="329" operator="equal">
      <formula>IF($AL$153&gt;$AN$153,$AM$153,)</formula>
    </cfRule>
  </conditionalFormatting>
  <conditionalFormatting sqref="AM154">
    <cfRule type="cellIs" dxfId="190" priority="328" operator="equal">
      <formula>IF($AL$154&gt;$AN$154,$AM$154,)</formula>
    </cfRule>
  </conditionalFormatting>
  <conditionalFormatting sqref="AM156">
    <cfRule type="cellIs" dxfId="189" priority="327" operator="equal">
      <formula>IF($AL$156&gt;$AN$156,$AM$156,)</formula>
    </cfRule>
  </conditionalFormatting>
  <conditionalFormatting sqref="AM151">
    <cfRule type="cellIs" dxfId="188" priority="326" operator="equal">
      <formula>IF($AL$151&gt;$AN$151,$AM$151,)</formula>
    </cfRule>
  </conditionalFormatting>
  <conditionalFormatting sqref="AM155">
    <cfRule type="cellIs" dxfId="187" priority="325" operator="equal">
      <formula>IF($AL$155&gt;$AN$155,$AM$155,)</formula>
    </cfRule>
  </conditionalFormatting>
  <conditionalFormatting sqref="AM161">
    <cfRule type="cellIs" dxfId="186" priority="324" operator="equal">
      <formula>IF($AL$161&gt;$AN$161,$AM$161,)</formula>
    </cfRule>
  </conditionalFormatting>
  <conditionalFormatting sqref="AM162">
    <cfRule type="cellIs" dxfId="185" priority="323" operator="equal">
      <formula>IF($AL$162&gt;$AN$162,$AM$162,)</formula>
    </cfRule>
  </conditionalFormatting>
  <conditionalFormatting sqref="AM163">
    <cfRule type="cellIs" dxfId="184" priority="322" operator="equal">
      <formula>IF($AL$163&gt;$AN$163,$AM$163,)</formula>
    </cfRule>
  </conditionalFormatting>
  <conditionalFormatting sqref="AM165">
    <cfRule type="cellIs" dxfId="183" priority="321" operator="equal">
      <formula>IF($AL$165&gt;$AN$165,$AM$165,)</formula>
    </cfRule>
  </conditionalFormatting>
  <conditionalFormatting sqref="AM160">
    <cfRule type="cellIs" dxfId="182" priority="320" operator="equal">
      <formula>IF($AL$160&gt;$AN$160,$AM$160,)</formula>
    </cfRule>
  </conditionalFormatting>
  <conditionalFormatting sqref="AM164">
    <cfRule type="cellIs" dxfId="181" priority="319" operator="equal">
      <formula>IF($AL$164&gt;$AN$164,$AM$164,)</formula>
    </cfRule>
  </conditionalFormatting>
  <conditionalFormatting sqref="AM170">
    <cfRule type="cellIs" dxfId="180" priority="318" operator="equal">
      <formula>IF($AL$170&gt;$AN$170,$AM$170,)</formula>
    </cfRule>
  </conditionalFormatting>
  <conditionalFormatting sqref="AM171">
    <cfRule type="cellIs" dxfId="179" priority="317" operator="equal">
      <formula>IF($AL$171&gt;$AN$171,$AM$171,)</formula>
    </cfRule>
  </conditionalFormatting>
  <conditionalFormatting sqref="AM172">
    <cfRule type="cellIs" dxfId="178" priority="316" operator="equal">
      <formula>IF($AL$172&gt;$AN$172,$AM$172,)</formula>
    </cfRule>
  </conditionalFormatting>
  <conditionalFormatting sqref="AM174">
    <cfRule type="cellIs" dxfId="177" priority="315" operator="equal">
      <formula>IF($AL$174&gt;$AN$174,$AM$174,)</formula>
    </cfRule>
  </conditionalFormatting>
  <conditionalFormatting sqref="AM169">
    <cfRule type="cellIs" dxfId="176" priority="314" operator="equal">
      <formula>IF($AL$169&gt;$AN$169,$AM$169,)</formula>
    </cfRule>
  </conditionalFormatting>
  <conditionalFormatting sqref="AM173">
    <cfRule type="cellIs" dxfId="175" priority="313" operator="equal">
      <formula>IF($AL$173&gt;$AN$173,$AM$173,)</formula>
    </cfRule>
  </conditionalFormatting>
  <conditionalFormatting sqref="AM179">
    <cfRule type="cellIs" dxfId="174" priority="312" operator="equal">
      <formula>IF($AL$179&gt;$AN$179,$AM$179,)</formula>
    </cfRule>
  </conditionalFormatting>
  <conditionalFormatting sqref="AM180">
    <cfRule type="cellIs" dxfId="173" priority="311" operator="equal">
      <formula>IF($AL$180&gt;$AN$180,$AM$180,)</formula>
    </cfRule>
  </conditionalFormatting>
  <conditionalFormatting sqref="AM181">
    <cfRule type="cellIs" dxfId="172" priority="310" operator="equal">
      <formula>IF($AL$181&gt;$AN$181,$AM$181,)</formula>
    </cfRule>
  </conditionalFormatting>
  <conditionalFormatting sqref="AM183">
    <cfRule type="cellIs" dxfId="171" priority="309" operator="equal">
      <formula>IF($AL$183&gt;$AN$183,$AM$183,)</formula>
    </cfRule>
  </conditionalFormatting>
  <conditionalFormatting sqref="AM178">
    <cfRule type="cellIs" dxfId="170" priority="308" operator="equal">
      <formula>IF($AL$178&gt;$AN$178,$AM$178)</formula>
    </cfRule>
  </conditionalFormatting>
  <conditionalFormatting sqref="AM182">
    <cfRule type="cellIs" dxfId="169" priority="307" operator="equal">
      <formula>IF($AL$182&gt;$AN$182,$AM$182,)</formula>
    </cfRule>
  </conditionalFormatting>
  <conditionalFormatting sqref="AM188">
    <cfRule type="cellIs" dxfId="168" priority="306" operator="equal">
      <formula>IF($AL$188&gt;$AN$188,$AM$188,)</formula>
    </cfRule>
  </conditionalFormatting>
  <conditionalFormatting sqref="AM189">
    <cfRule type="cellIs" dxfId="167" priority="305" operator="equal">
      <formula>IF($AL$189&gt;$AN$189,$AM$189,)</formula>
    </cfRule>
  </conditionalFormatting>
  <conditionalFormatting sqref="AM190">
    <cfRule type="cellIs" dxfId="166" priority="304" operator="equal">
      <formula>IF($AL$190&gt;$AN$190,$AM$190,)</formula>
    </cfRule>
  </conditionalFormatting>
  <conditionalFormatting sqref="AM192">
    <cfRule type="cellIs" dxfId="165" priority="303" operator="equal">
      <formula>IF($AL$192&gt;$AN$192,$AM$192,)</formula>
    </cfRule>
  </conditionalFormatting>
  <conditionalFormatting sqref="AM187">
    <cfRule type="cellIs" dxfId="164" priority="302" operator="equal">
      <formula>IF($AL$187&gt;$AN$187,$AM$187)</formula>
    </cfRule>
  </conditionalFormatting>
  <conditionalFormatting sqref="AM191">
    <cfRule type="cellIs" dxfId="163" priority="301" operator="equal">
      <formula>IF($AL$191&gt;$AN$191,$AM$191,)</formula>
    </cfRule>
  </conditionalFormatting>
  <conditionalFormatting sqref="AQ55">
    <cfRule type="cellIs" dxfId="162" priority="300" operator="equal">
      <formula>IF($AP$55&gt;$AR$55,$AQ$55,)</formula>
    </cfRule>
  </conditionalFormatting>
  <conditionalFormatting sqref="AQ54">
    <cfRule type="cellIs" dxfId="161" priority="296" operator="equal">
      <formula>IF($AP$54&gt;$AP$54,$AQ$54,)</formula>
    </cfRule>
  </conditionalFormatting>
  <conditionalFormatting sqref="AQ53">
    <cfRule type="cellIs" dxfId="160" priority="295" operator="equal">
      <formula>IF($AP$53&gt;$AR$53,$AQ$53,)</formula>
    </cfRule>
  </conditionalFormatting>
  <conditionalFormatting sqref="AQ56">
    <cfRule type="cellIs" dxfId="159" priority="294" operator="equal">
      <formula>IF($AP$56&gt;$AR$56,$AQ$56,)</formula>
    </cfRule>
  </conditionalFormatting>
  <conditionalFormatting sqref="AQ57">
    <cfRule type="cellIs" dxfId="158" priority="293" operator="equal">
      <formula>IF($AP$57&gt;$AR$57,$AQ$57,)</formula>
    </cfRule>
  </conditionalFormatting>
  <conditionalFormatting sqref="AQ64">
    <cfRule type="cellIs" dxfId="157" priority="165" operator="equal">
      <formula>IF($AP$64&gt;$AR$64,$AQ$64,)</formula>
    </cfRule>
  </conditionalFormatting>
  <conditionalFormatting sqref="AQ63">
    <cfRule type="cellIs" dxfId="156" priority="164" operator="equal">
      <formula>IF($AP$63&gt;$AR$63,$AQ$63,)</formula>
    </cfRule>
  </conditionalFormatting>
  <conditionalFormatting sqref="AQ62">
    <cfRule type="cellIs" dxfId="155" priority="163" operator="equal">
      <formula>IF($AP$62&gt;$AR$62,$AQ$62,)</formula>
    </cfRule>
  </conditionalFormatting>
  <conditionalFormatting sqref="AQ65">
    <cfRule type="cellIs" dxfId="154" priority="162" operator="equal">
      <formula>IF($AP$65&gt;$AR$65,$AQ$65,)</formula>
    </cfRule>
  </conditionalFormatting>
  <conditionalFormatting sqref="AQ66">
    <cfRule type="cellIs" dxfId="153" priority="161" operator="equal">
      <formula>IF($AP$66&gt;$AR$66,$AQ$66,)</formula>
    </cfRule>
  </conditionalFormatting>
  <conditionalFormatting sqref="AQ52">
    <cfRule type="cellIs" dxfId="152" priority="160" operator="equal">
      <formula>IF($AP$52&gt;$AR$52,$AQ$52,)</formula>
    </cfRule>
  </conditionalFormatting>
  <conditionalFormatting sqref="AQ61">
    <cfRule type="cellIs" dxfId="151" priority="159" operator="equal">
      <formula>IF($AP$61&gt;$AR$61,$AQ$61,)</formula>
    </cfRule>
  </conditionalFormatting>
  <conditionalFormatting sqref="AQ73">
    <cfRule type="cellIs" dxfId="150" priority="158" operator="equal">
      <formula>IF($AP$73&gt;$AR$73,$AQ$73,)</formula>
    </cfRule>
  </conditionalFormatting>
  <conditionalFormatting sqref="AQ72">
    <cfRule type="cellIs" dxfId="149" priority="157" operator="equal">
      <formula>IF($AP$72&gt;$AR$72,$AQ$72,)</formula>
    </cfRule>
  </conditionalFormatting>
  <conditionalFormatting sqref="AQ71">
    <cfRule type="cellIs" dxfId="148" priority="156" operator="equal">
      <formula>IF($AP$71&gt;$AR$71,$AQ$71,)</formula>
    </cfRule>
  </conditionalFormatting>
  <conditionalFormatting sqref="AQ74">
    <cfRule type="cellIs" dxfId="147" priority="155" operator="equal">
      <formula>IF($AP$74&gt;$AR$74,$AQ$74,)</formula>
    </cfRule>
  </conditionalFormatting>
  <conditionalFormatting sqref="AQ75">
    <cfRule type="cellIs" dxfId="146" priority="154" operator="equal">
      <formula>IF($AP$75&gt;$AR$75,$AQ$75,)</formula>
    </cfRule>
  </conditionalFormatting>
  <conditionalFormatting sqref="AQ70">
    <cfRule type="cellIs" dxfId="145" priority="153" operator="equal">
      <formula>IF($AP$70&gt;$AR$70,$AQ$70,)</formula>
    </cfRule>
  </conditionalFormatting>
  <conditionalFormatting sqref="AQ82">
    <cfRule type="cellIs" dxfId="144" priority="152" operator="equal">
      <formula>IF($AP$82&gt;$AR$82,$AQ$82,)</formula>
    </cfRule>
  </conditionalFormatting>
  <conditionalFormatting sqref="AQ81">
    <cfRule type="cellIs" dxfId="143" priority="151" operator="equal">
      <formula>IF($AP$81&gt;$AR$81,$AQ$81,)</formula>
    </cfRule>
  </conditionalFormatting>
  <conditionalFormatting sqref="AQ80">
    <cfRule type="cellIs" dxfId="142" priority="150" operator="equal">
      <formula>IF($AP$80&gt;$AR$80,$AQ$80,)</formula>
    </cfRule>
  </conditionalFormatting>
  <conditionalFormatting sqref="AQ83">
    <cfRule type="cellIs" dxfId="141" priority="149" operator="equal">
      <formula>IF($AP$83&gt;$AR$83,$AQ$83,)</formula>
    </cfRule>
  </conditionalFormatting>
  <conditionalFormatting sqref="AQ84">
    <cfRule type="cellIs" dxfId="140" priority="148" operator="equal">
      <formula>IF($AP$84&gt;$AR$84,$AQ$84,)</formula>
    </cfRule>
  </conditionalFormatting>
  <conditionalFormatting sqref="AQ79">
    <cfRule type="cellIs" dxfId="139" priority="147" operator="equal">
      <formula>IF($AP$79&gt;$AR$79,$AQ$79,)</formula>
    </cfRule>
  </conditionalFormatting>
  <conditionalFormatting sqref="AQ91">
    <cfRule type="cellIs" dxfId="138" priority="146" operator="equal">
      <formula>IF($AP$91&gt;$AR$91,$AQ$91,)</formula>
    </cfRule>
  </conditionalFormatting>
  <conditionalFormatting sqref="AQ90">
    <cfRule type="cellIs" dxfId="137" priority="145" operator="equal">
      <formula>IF($AP$90&gt;$AR$90,$AQ$90,)</formula>
    </cfRule>
  </conditionalFormatting>
  <conditionalFormatting sqref="AQ89">
    <cfRule type="cellIs" dxfId="136" priority="144" operator="equal">
      <formula>IF($AP$89&gt;$AR$89,$AQ$89,)</formula>
    </cfRule>
  </conditionalFormatting>
  <conditionalFormatting sqref="AQ92">
    <cfRule type="cellIs" dxfId="135" priority="143" operator="equal">
      <formula>IF($AP$92&gt;$AR$92,$AQ$92,)</formula>
    </cfRule>
  </conditionalFormatting>
  <conditionalFormatting sqref="AQ93">
    <cfRule type="cellIs" dxfId="134" priority="142" operator="equal">
      <formula>IF($AP$93&gt;$AR$93,$AQ$93,)</formula>
    </cfRule>
  </conditionalFormatting>
  <conditionalFormatting sqref="AQ88">
    <cfRule type="cellIs" dxfId="133" priority="141" operator="equal">
      <formula>IF($AP$88&gt;$AR$88,$AQ$88,)</formula>
    </cfRule>
  </conditionalFormatting>
  <conditionalFormatting sqref="AQ100">
    <cfRule type="cellIs" dxfId="132" priority="140" operator="equal">
      <formula>IF($AP$100&gt;$AR$100,$AQ$100,)</formula>
    </cfRule>
  </conditionalFormatting>
  <conditionalFormatting sqref="AQ99">
    <cfRule type="cellIs" dxfId="131" priority="139" operator="equal">
      <formula>IF($AP$99&gt;$AR$99,$AQ$99,)</formula>
    </cfRule>
  </conditionalFormatting>
  <conditionalFormatting sqref="AQ98">
    <cfRule type="cellIs" dxfId="130" priority="138" operator="equal">
      <formula>IF($AP$98&gt;$AR$98,$AQ$98,)</formula>
    </cfRule>
  </conditionalFormatting>
  <conditionalFormatting sqref="AQ101">
    <cfRule type="cellIs" dxfId="129" priority="137" operator="equal">
      <formula>IF($AP$101&gt;$AR$101,$AQ$101,)</formula>
    </cfRule>
  </conditionalFormatting>
  <conditionalFormatting sqref="AQ102">
    <cfRule type="cellIs" dxfId="128" priority="136" operator="equal">
      <formula>IF($AP$102&gt;$AR$102,$AQ$102,)</formula>
    </cfRule>
  </conditionalFormatting>
  <conditionalFormatting sqref="AQ97">
    <cfRule type="cellIs" dxfId="127" priority="135" operator="equal">
      <formula>IF($AP$97&gt;$AR$97,$AQ$97,)</formula>
    </cfRule>
  </conditionalFormatting>
  <conditionalFormatting sqref="AQ109">
    <cfRule type="cellIs" dxfId="126" priority="134" operator="equal">
      <formula>IF($AP$109&gt;$AR$109,$AQ$109,)</formula>
    </cfRule>
  </conditionalFormatting>
  <conditionalFormatting sqref="AQ108">
    <cfRule type="cellIs" dxfId="125" priority="133" operator="equal">
      <formula>IF($AP$108&gt;$AR$108,$AQ$108,)</formula>
    </cfRule>
  </conditionalFormatting>
  <conditionalFormatting sqref="AQ107">
    <cfRule type="cellIs" dxfId="124" priority="132" operator="equal">
      <formula>IF($AP$107&gt;$AR$107,$AQ$107,)</formula>
    </cfRule>
  </conditionalFormatting>
  <conditionalFormatting sqref="AQ110">
    <cfRule type="cellIs" dxfId="123" priority="131" operator="equal">
      <formula>IF($AP$110&gt;$AR$110,$AQ$110,)</formula>
    </cfRule>
  </conditionalFormatting>
  <conditionalFormatting sqref="AQ111">
    <cfRule type="cellIs" dxfId="122" priority="130" operator="equal">
      <formula>IF($AP$111&gt;$AR$111,$AQ$111,)</formula>
    </cfRule>
  </conditionalFormatting>
  <conditionalFormatting sqref="AQ106">
    <cfRule type="cellIs" dxfId="121" priority="129" operator="equal">
      <formula>IF($AP$106&gt;$AR$106,$AQ$106,)</formula>
    </cfRule>
  </conditionalFormatting>
  <conditionalFormatting sqref="AQ118">
    <cfRule type="cellIs" dxfId="120" priority="128" operator="equal">
      <formula>IF($AP$118&gt;$AR$118,$AQ$118,)</formula>
    </cfRule>
  </conditionalFormatting>
  <conditionalFormatting sqref="AQ117">
    <cfRule type="cellIs" dxfId="119" priority="127" operator="equal">
      <formula>IF($AP$117&gt;$AR$117,$AQ$117,)</formula>
    </cfRule>
  </conditionalFormatting>
  <conditionalFormatting sqref="AQ116">
    <cfRule type="cellIs" dxfId="118" priority="126" operator="equal">
      <formula>IF($AP$116&gt;$AR$116,$AQ$116,)</formula>
    </cfRule>
  </conditionalFormatting>
  <conditionalFormatting sqref="AQ119">
    <cfRule type="cellIs" dxfId="117" priority="125" operator="equal">
      <formula>IF($AP$119&gt;$AR$119,$AQ$119,)</formula>
    </cfRule>
  </conditionalFormatting>
  <conditionalFormatting sqref="AQ120">
    <cfRule type="cellIs" dxfId="116" priority="124" operator="equal">
      <formula>IF($AP$120&gt;$AR$120,$AQ$120,)</formula>
    </cfRule>
  </conditionalFormatting>
  <conditionalFormatting sqref="AQ115">
    <cfRule type="cellIs" dxfId="115" priority="123" operator="equal">
      <formula>IF($AP$115&gt;$AR$115,$AQ$115,)</formula>
    </cfRule>
  </conditionalFormatting>
  <conditionalFormatting sqref="AQ127">
    <cfRule type="cellIs" dxfId="114" priority="122" operator="equal">
      <formula>IF($AP$127&gt;$AR$127,$AQ$127,)</formula>
    </cfRule>
  </conditionalFormatting>
  <conditionalFormatting sqref="AQ126">
    <cfRule type="cellIs" dxfId="113" priority="121" operator="equal">
      <formula>IF($AP$126&gt;$AR$126,$AQ$126,)</formula>
    </cfRule>
  </conditionalFormatting>
  <conditionalFormatting sqref="AQ125">
    <cfRule type="cellIs" dxfId="112" priority="120" operator="equal">
      <formula>IF($AP$125&gt;$AR$125,$AQ$125,)</formula>
    </cfRule>
  </conditionalFormatting>
  <conditionalFormatting sqref="AQ128">
    <cfRule type="cellIs" dxfId="111" priority="119" operator="equal">
      <formula>IF($AP$128&gt;$AR$128,$AQ$128,)</formula>
    </cfRule>
  </conditionalFormatting>
  <conditionalFormatting sqref="AQ129">
    <cfRule type="cellIs" dxfId="110" priority="118" operator="equal">
      <formula>IF($AP$129&gt;$AR$129,$AQ$129,)</formula>
    </cfRule>
  </conditionalFormatting>
  <conditionalFormatting sqref="AQ124">
    <cfRule type="cellIs" dxfId="109" priority="117" operator="equal">
      <formula>IF($AP$124&gt;$AR$124,$AQ$124,)</formula>
    </cfRule>
  </conditionalFormatting>
  <conditionalFormatting sqref="AQ136">
    <cfRule type="cellIs" dxfId="108" priority="116" operator="equal">
      <formula>IF($AP$136&gt;$AR$136,$AQ$136,)</formula>
    </cfRule>
  </conditionalFormatting>
  <conditionalFormatting sqref="AQ135">
    <cfRule type="cellIs" dxfId="107" priority="115" operator="equal">
      <formula>IF($AP$135&gt;$AR$135,$AQ$135,)</formula>
    </cfRule>
  </conditionalFormatting>
  <conditionalFormatting sqref="AQ134">
    <cfRule type="cellIs" dxfId="106" priority="114" operator="equal">
      <formula>IF($AP$134&gt;$AR$134,$AQ$134,)</formula>
    </cfRule>
  </conditionalFormatting>
  <conditionalFormatting sqref="AQ137">
    <cfRule type="cellIs" dxfId="105" priority="113" operator="equal">
      <formula>IF($AP$137&gt;$AR$137,$AQ$137,)</formula>
    </cfRule>
  </conditionalFormatting>
  <conditionalFormatting sqref="AQ138">
    <cfRule type="cellIs" dxfId="104" priority="112" operator="equal">
      <formula>IF($AP$138&gt;$AR$138,$AQ$138,)</formula>
    </cfRule>
  </conditionalFormatting>
  <conditionalFormatting sqref="AQ133">
    <cfRule type="cellIs" dxfId="103" priority="111" operator="equal">
      <formula>IF($AP$133&gt;$AR$133,$AQ$133,)</formula>
    </cfRule>
  </conditionalFormatting>
  <conditionalFormatting sqref="AQ145">
    <cfRule type="cellIs" dxfId="102" priority="110" operator="equal">
      <formula>IF($AP$145&gt;$AR$145,$AQ$145,)</formula>
    </cfRule>
  </conditionalFormatting>
  <conditionalFormatting sqref="AQ144">
    <cfRule type="cellIs" dxfId="101" priority="109" operator="equal">
      <formula>IF($AP$144&gt;$AR$144,$AQ$144,)</formula>
    </cfRule>
  </conditionalFormatting>
  <conditionalFormatting sqref="AQ143">
    <cfRule type="cellIs" dxfId="100" priority="108" operator="equal">
      <formula>IF($AP$143&gt;$AR$143,$AQ$143,)</formula>
    </cfRule>
  </conditionalFormatting>
  <conditionalFormatting sqref="AQ146">
    <cfRule type="cellIs" dxfId="99" priority="107" operator="equal">
      <formula>IF($AP$146&gt;$AR$146,$AQ$146,)</formula>
    </cfRule>
  </conditionalFormatting>
  <conditionalFormatting sqref="AQ147">
    <cfRule type="cellIs" dxfId="98" priority="106" operator="equal">
      <formula>IF($AP$147&gt;$AR$147,$AQ$147,)</formula>
    </cfRule>
  </conditionalFormatting>
  <conditionalFormatting sqref="AQ142">
    <cfRule type="cellIs" dxfId="97" priority="105" operator="equal">
      <formula>IF($AP$142&gt;$AR$142,$AQ$142,)</formula>
    </cfRule>
  </conditionalFormatting>
  <conditionalFormatting sqref="AQ154">
    <cfRule type="cellIs" dxfId="96" priority="104" operator="equal">
      <formula>IF($AP$154&gt;$AR$154,$AQ$154,)</formula>
    </cfRule>
  </conditionalFormatting>
  <conditionalFormatting sqref="AQ153">
    <cfRule type="cellIs" dxfId="95" priority="103" operator="equal">
      <formula>IF($AP$153&gt;$AR$153,$AQ$153,)</formula>
    </cfRule>
  </conditionalFormatting>
  <conditionalFormatting sqref="AQ152">
    <cfRule type="cellIs" dxfId="94" priority="102" operator="equal">
      <formula>IF($AP$152&gt;$AR$152,$AQ$152,)</formula>
    </cfRule>
  </conditionalFormatting>
  <conditionalFormatting sqref="AQ155">
    <cfRule type="cellIs" dxfId="93" priority="101" operator="equal">
      <formula>IF($AP$155&gt;$AR$155,$AQ$155,)</formula>
    </cfRule>
  </conditionalFormatting>
  <conditionalFormatting sqref="AQ156">
    <cfRule type="cellIs" dxfId="92" priority="100" operator="equal">
      <formula>IF($AP$156&gt;$AR$156,$AQ$156,)</formula>
    </cfRule>
  </conditionalFormatting>
  <conditionalFormatting sqref="AQ151">
    <cfRule type="cellIs" dxfId="91" priority="99" operator="equal">
      <formula>IF($AP$151&gt;$AR$151,$AQ$151,)</formula>
    </cfRule>
  </conditionalFormatting>
  <conditionalFormatting sqref="AQ163">
    <cfRule type="cellIs" dxfId="90" priority="98" operator="equal">
      <formula>IF($AP$163&gt;$AR$163,$AQ$163,)</formula>
    </cfRule>
  </conditionalFormatting>
  <conditionalFormatting sqref="AQ162">
    <cfRule type="cellIs" dxfId="89" priority="97" operator="equal">
      <formula>IF($AP$162&gt;$AR$162,$AQ$162,)</formula>
    </cfRule>
  </conditionalFormatting>
  <conditionalFormatting sqref="AQ161">
    <cfRule type="cellIs" dxfId="88" priority="96" operator="equal">
      <formula>IF($AP$161&gt;$AR$161,$AQ$161,)</formula>
    </cfRule>
  </conditionalFormatting>
  <conditionalFormatting sqref="AQ164">
    <cfRule type="cellIs" dxfId="87" priority="95" operator="equal">
      <formula>IF($AP$164&gt;$AR$164,$AQ$164,)</formula>
    </cfRule>
  </conditionalFormatting>
  <conditionalFormatting sqref="AQ165">
    <cfRule type="cellIs" dxfId="86" priority="94" operator="equal">
      <formula>IF($AP$165&gt;$AR$165,$AQ$165,)</formula>
    </cfRule>
  </conditionalFormatting>
  <conditionalFormatting sqref="AQ160">
    <cfRule type="cellIs" dxfId="85" priority="93" operator="equal">
      <formula>IF($AP$160&gt;$AR$160,$AQ$160,)</formula>
    </cfRule>
  </conditionalFormatting>
  <conditionalFormatting sqref="AQ172">
    <cfRule type="cellIs" dxfId="84" priority="92" operator="equal">
      <formula>IF($AP$172&gt;$AR$172,$AQ$172,)</formula>
    </cfRule>
  </conditionalFormatting>
  <conditionalFormatting sqref="AQ171">
    <cfRule type="cellIs" dxfId="83" priority="91" operator="equal">
      <formula>IF($AP$171&gt;$AR$171,$AQ$171,)</formula>
    </cfRule>
  </conditionalFormatting>
  <conditionalFormatting sqref="AQ170">
    <cfRule type="cellIs" dxfId="82" priority="90" operator="equal">
      <formula>IF($AP$170&gt;$AR$170,$AQ$170,)</formula>
    </cfRule>
  </conditionalFormatting>
  <conditionalFormatting sqref="AQ173">
    <cfRule type="cellIs" dxfId="81" priority="89" operator="equal">
      <formula>IF($AP$173&gt;$AR$173,$AQ$173,)</formula>
    </cfRule>
  </conditionalFormatting>
  <conditionalFormatting sqref="AQ174">
    <cfRule type="cellIs" dxfId="80" priority="88" operator="equal">
      <formula>IF($AP$174&gt;$AR$174,$AQ$174,)</formula>
    </cfRule>
  </conditionalFormatting>
  <conditionalFormatting sqref="AQ169">
    <cfRule type="cellIs" dxfId="79" priority="87" operator="equal">
      <formula>IF($AP$169&gt;$AR$169,$AQ$169,)</formula>
    </cfRule>
  </conditionalFormatting>
  <conditionalFormatting sqref="AQ181">
    <cfRule type="cellIs" dxfId="78" priority="86" operator="equal">
      <formula>IF($AP$181&gt;$AR$181,$AQ$181,)</formula>
    </cfRule>
  </conditionalFormatting>
  <conditionalFormatting sqref="AQ180">
    <cfRule type="cellIs" dxfId="77" priority="85" operator="equal">
      <formula>IF($AP$180&gt;$AR$180,$AQ$180,)</formula>
    </cfRule>
  </conditionalFormatting>
  <conditionalFormatting sqref="AQ179">
    <cfRule type="cellIs" dxfId="76" priority="84" operator="equal">
      <formula>IF($AP$179&gt;$AR$179,$AQ$179,)</formula>
    </cfRule>
  </conditionalFormatting>
  <conditionalFormatting sqref="AQ182">
    <cfRule type="cellIs" dxfId="75" priority="83" operator="equal">
      <formula>IF($AP$182&gt;$AR$182,$AQ$182,)</formula>
    </cfRule>
  </conditionalFormatting>
  <conditionalFormatting sqref="AQ183">
    <cfRule type="cellIs" dxfId="74" priority="82" operator="equal">
      <formula>IF($AP$183&gt;$AR$183,$AQ$183,)</formula>
    </cfRule>
  </conditionalFormatting>
  <conditionalFormatting sqref="AQ178">
    <cfRule type="cellIs" dxfId="73" priority="81" operator="equal">
      <formula>IF($AP$178&gt;$AR$178,$AQ$178,)</formula>
    </cfRule>
  </conditionalFormatting>
  <conditionalFormatting sqref="AQ190">
    <cfRule type="cellIs" dxfId="72" priority="80" operator="equal">
      <formula>IF($AP$190&gt;$AR$190,$AQ$190,)</formula>
    </cfRule>
  </conditionalFormatting>
  <conditionalFormatting sqref="AQ189">
    <cfRule type="cellIs" dxfId="71" priority="79" operator="equal">
      <formula>IF($AP$189&gt;$AR$189,$AQ$189,)</formula>
    </cfRule>
  </conditionalFormatting>
  <conditionalFormatting sqref="AQ188">
    <cfRule type="cellIs" dxfId="70" priority="78" operator="equal">
      <formula>IF($AP$188&gt;$AR$188,$AQ$188,)</formula>
    </cfRule>
  </conditionalFormatting>
  <conditionalFormatting sqref="AQ191">
    <cfRule type="cellIs" dxfId="69" priority="77" operator="equal">
      <formula>IF($AP$191&gt;$AR$191,$AQ$191,)</formula>
    </cfRule>
  </conditionalFormatting>
  <conditionalFormatting sqref="AQ192">
    <cfRule type="cellIs" dxfId="68" priority="76" operator="equal">
      <formula>IF($AP$192&gt;$AR$192,$AQ$192,)</formula>
    </cfRule>
  </conditionalFormatting>
  <conditionalFormatting sqref="AQ187">
    <cfRule type="cellIs" dxfId="67" priority="75" operator="equal">
      <formula>IF($AP$187&gt;$AR$187,$AQ$187,)</formula>
    </cfRule>
  </conditionalFormatting>
  <conditionalFormatting sqref="J32">
    <cfRule type="cellIs" dxfId="66" priority="74" operator="equal">
      <formula>IF($J$32&gt;1,$J$32,)</formula>
    </cfRule>
  </conditionalFormatting>
  <conditionalFormatting sqref="J33">
    <cfRule type="cellIs" dxfId="65" priority="73" operator="equal">
      <formula>IF($J$33&gt;1,$J$33,)</formula>
    </cfRule>
  </conditionalFormatting>
  <conditionalFormatting sqref="J34">
    <cfRule type="cellIs" dxfId="64" priority="72" operator="equal">
      <formula>IF($J$34&gt;1,$J$34,)</formula>
    </cfRule>
  </conditionalFormatting>
  <conditionalFormatting sqref="J35">
    <cfRule type="cellIs" dxfId="63" priority="71" operator="equal">
      <formula>IF($J$35&gt;1,$J$35,)</formula>
    </cfRule>
  </conditionalFormatting>
  <conditionalFormatting sqref="J36">
    <cfRule type="cellIs" dxfId="62" priority="70" operator="equal">
      <formula>IF($J$36&gt;1,$J$36,)</formula>
    </cfRule>
  </conditionalFormatting>
  <conditionalFormatting sqref="J37">
    <cfRule type="cellIs" dxfId="61" priority="69" operator="equal">
      <formula>IF($J$37&gt;1,$J$37,)</formula>
    </cfRule>
  </conditionalFormatting>
  <conditionalFormatting sqref="J38">
    <cfRule type="cellIs" dxfId="60" priority="68" operator="equal">
      <formula>IF($J$38&gt;1,$J$38,)</formula>
    </cfRule>
  </conditionalFormatting>
  <conditionalFormatting sqref="J39">
    <cfRule type="cellIs" dxfId="59" priority="67" operator="equal">
      <formula>IF($J$39&gt;1,$J$39,)</formula>
    </cfRule>
  </conditionalFormatting>
  <conditionalFormatting sqref="J40">
    <cfRule type="cellIs" dxfId="58" priority="66" operator="equal">
      <formula>IF($J$40&gt;1,$J$40,)</formula>
    </cfRule>
  </conditionalFormatting>
  <conditionalFormatting sqref="J41">
    <cfRule type="cellIs" dxfId="57" priority="65" operator="equal">
      <formula>IF($J$41&gt;1,$J$41,)</formula>
    </cfRule>
  </conditionalFormatting>
  <conditionalFormatting sqref="J42">
    <cfRule type="cellIs" dxfId="56" priority="64" operator="equal">
      <formula>IF($J$42&gt;1,$J$42,)</formula>
    </cfRule>
  </conditionalFormatting>
  <conditionalFormatting sqref="J43">
    <cfRule type="cellIs" dxfId="55" priority="63" operator="equal">
      <formula>IF($J$43&gt;1,$J$43,)</formula>
    </cfRule>
  </conditionalFormatting>
  <conditionalFormatting sqref="J44">
    <cfRule type="cellIs" dxfId="54" priority="62" operator="equal">
      <formula>IF($J$44&gt;1,$J$44,)</formula>
    </cfRule>
  </conditionalFormatting>
  <conditionalFormatting sqref="J45">
    <cfRule type="cellIs" dxfId="53" priority="61" operator="equal">
      <formula>IF($J$45&gt;1,$J$45,)</formula>
    </cfRule>
  </conditionalFormatting>
  <conditionalFormatting sqref="J46">
    <cfRule type="cellIs" dxfId="52" priority="60" operator="equal">
      <formula>IF($J$46&gt;1,$J$46,)</formula>
    </cfRule>
  </conditionalFormatting>
  <conditionalFormatting sqref="J47">
    <cfRule type="cellIs" dxfId="51" priority="59" operator="equal">
      <formula>IF($J$47&gt;1,$J$47,)</formula>
    </cfRule>
  </conditionalFormatting>
  <conditionalFormatting sqref="K32">
    <cfRule type="cellIs" dxfId="50" priority="58" operator="equal">
      <formula>IF($K$32&gt;1,$K$32,)</formula>
    </cfRule>
  </conditionalFormatting>
  <conditionalFormatting sqref="K33">
    <cfRule type="cellIs" dxfId="49" priority="57" operator="equal">
      <formula>IF($K$33&gt;1,$K$33,)</formula>
    </cfRule>
  </conditionalFormatting>
  <conditionalFormatting sqref="K34">
    <cfRule type="cellIs" dxfId="48" priority="56" operator="equal">
      <formula>IF($K$34&gt;1,$K$34,)</formula>
    </cfRule>
  </conditionalFormatting>
  <conditionalFormatting sqref="K35">
    <cfRule type="cellIs" dxfId="47" priority="55" operator="equal">
      <formula>IF($K$35&gt;1,$K$35,)</formula>
    </cfRule>
  </conditionalFormatting>
  <conditionalFormatting sqref="K36">
    <cfRule type="cellIs" dxfId="46" priority="54" operator="equal">
      <formula>IF($K$36&gt;1,$K$36,)</formula>
    </cfRule>
  </conditionalFormatting>
  <conditionalFormatting sqref="K37">
    <cfRule type="cellIs" dxfId="45" priority="53" operator="equal">
      <formula>IF($K$37&gt;1,$K$37,)</formula>
    </cfRule>
  </conditionalFormatting>
  <conditionalFormatting sqref="K38">
    <cfRule type="cellIs" dxfId="44" priority="52" operator="equal">
      <formula>IF($K$38&gt;1,$K$38,)</formula>
    </cfRule>
  </conditionalFormatting>
  <conditionalFormatting sqref="K39">
    <cfRule type="cellIs" dxfId="43" priority="51" operator="equal">
      <formula>IF($K$39&gt;1,$K$39,)</formula>
    </cfRule>
  </conditionalFormatting>
  <conditionalFormatting sqref="K40">
    <cfRule type="cellIs" dxfId="42" priority="50" operator="equal">
      <formula>IF($K$40&gt;1,$K$40,)</formula>
    </cfRule>
  </conditionalFormatting>
  <conditionalFormatting sqref="K41">
    <cfRule type="cellIs" dxfId="41" priority="49" operator="equal">
      <formula>IF($K$41&gt;1,$K$41,)</formula>
    </cfRule>
  </conditionalFormatting>
  <conditionalFormatting sqref="K42">
    <cfRule type="cellIs" dxfId="40" priority="48" operator="equal">
      <formula>IF($K$42&gt;1,$K$42,)</formula>
    </cfRule>
  </conditionalFormatting>
  <conditionalFormatting sqref="K43">
    <cfRule type="cellIs" dxfId="39" priority="47" operator="equal">
      <formula>IF($K$43&gt;1,$K$43,)</formula>
    </cfRule>
  </conditionalFormatting>
  <conditionalFormatting sqref="K44:L44">
    <cfRule type="cellIs" dxfId="38" priority="46" operator="equal">
      <formula>IF($K$44&gt;1,$K$44,)</formula>
    </cfRule>
  </conditionalFormatting>
  <conditionalFormatting sqref="K45:L45">
    <cfRule type="cellIs" dxfId="37" priority="45" operator="equal">
      <formula>IF($K$45&gt;1,$K$45,)</formula>
    </cfRule>
  </conditionalFormatting>
  <conditionalFormatting sqref="K46:L46">
    <cfRule type="cellIs" dxfId="36" priority="44" operator="equal">
      <formula>IF($K$46&gt;1,$K$46,)</formula>
    </cfRule>
  </conditionalFormatting>
  <conditionalFormatting sqref="K47:L47">
    <cfRule type="cellIs" dxfId="35" priority="43" operator="equal">
      <formula>IF($K$47&gt;1,$K$47,)</formula>
    </cfRule>
  </conditionalFormatting>
  <conditionalFormatting sqref="P32">
    <cfRule type="cellIs" dxfId="34" priority="42" operator="equal">
      <formula>IF($P$32&gt;1,$P$32,)</formula>
    </cfRule>
  </conditionalFormatting>
  <conditionalFormatting sqref="Q32">
    <cfRule type="cellIs" dxfId="33" priority="41" operator="equal">
      <formula>IF($Q$32&gt;1,$Q$32,)</formula>
    </cfRule>
  </conditionalFormatting>
  <conditionalFormatting sqref="P33">
    <cfRule type="cellIs" dxfId="32" priority="40" operator="equal">
      <formula>IF($P$33&gt;1,$P$33,)</formula>
    </cfRule>
  </conditionalFormatting>
  <conditionalFormatting sqref="P34">
    <cfRule type="cellIs" dxfId="31" priority="39" operator="equal">
      <formula>IF($P$34&gt;1,$P$34,)</formula>
    </cfRule>
  </conditionalFormatting>
  <conditionalFormatting sqref="P35">
    <cfRule type="cellIs" dxfId="30" priority="38" operator="equal">
      <formula>IF($P$35&gt;1,$P$35,)</formula>
    </cfRule>
  </conditionalFormatting>
  <conditionalFormatting sqref="P36">
    <cfRule type="cellIs" dxfId="29" priority="37" operator="equal">
      <formula>IF($P$36&gt;1,$P$36,)</formula>
    </cfRule>
  </conditionalFormatting>
  <conditionalFormatting sqref="P37">
    <cfRule type="cellIs" dxfId="28" priority="36" operator="equal">
      <formula>IF($P$37&gt;1,$P$37,)</formula>
    </cfRule>
  </conditionalFormatting>
  <conditionalFormatting sqref="P38">
    <cfRule type="cellIs" dxfId="27" priority="35" operator="equal">
      <formula>IF($P$38&gt;1,$P$38,)</formula>
    </cfRule>
  </conditionalFormatting>
  <conditionalFormatting sqref="P39">
    <cfRule type="cellIs" dxfId="26" priority="34" operator="equal">
      <formula>IF($P$39&gt;1,$P$39,)</formula>
    </cfRule>
  </conditionalFormatting>
  <conditionalFormatting sqref="P40">
    <cfRule type="cellIs" dxfId="25" priority="33" operator="equal">
      <formula>IF($P$40&gt;1,$P$40,)</formula>
    </cfRule>
  </conditionalFormatting>
  <conditionalFormatting sqref="P41">
    <cfRule type="cellIs" dxfId="24" priority="32" operator="equal">
      <formula>IF($P$41&gt;1,$P$41,)</formula>
    </cfRule>
  </conditionalFormatting>
  <conditionalFormatting sqref="P42">
    <cfRule type="cellIs" dxfId="23" priority="31" operator="equal">
      <formula>IF($P$42&gt;1,$P$42,)</formula>
    </cfRule>
  </conditionalFormatting>
  <conditionalFormatting sqref="P43">
    <cfRule type="cellIs" dxfId="22" priority="30" operator="equal">
      <formula>IF($P$43&gt;1,$P$43,)</formula>
    </cfRule>
  </conditionalFormatting>
  <conditionalFormatting sqref="P44">
    <cfRule type="cellIs" dxfId="21" priority="29" operator="equal">
      <formula>IF($P$44&gt;1,$P$44,)</formula>
    </cfRule>
  </conditionalFormatting>
  <conditionalFormatting sqref="P45">
    <cfRule type="cellIs" dxfId="20" priority="28" operator="equal">
      <formula>IF($P$45&gt;1,$P$45,)</formula>
    </cfRule>
  </conditionalFormatting>
  <conditionalFormatting sqref="P46">
    <cfRule type="cellIs" dxfId="19" priority="27" operator="equal">
      <formula>IF($P$46&gt;1,$P$46,)</formula>
    </cfRule>
  </conditionalFormatting>
  <conditionalFormatting sqref="P47">
    <cfRule type="cellIs" dxfId="18" priority="26" operator="equal">
      <formula>IF($P$47&gt;1,$P$47,)</formula>
    </cfRule>
  </conditionalFormatting>
  <conditionalFormatting sqref="Q33">
    <cfRule type="cellIs" dxfId="17" priority="25" operator="equal">
      <formula>IF($Q$33&gt;1,$Q$33,)</formula>
    </cfRule>
  </conditionalFormatting>
  <conditionalFormatting sqref="Q34">
    <cfRule type="cellIs" dxfId="16" priority="24" operator="equal">
      <formula>IF($Q$34&gt;1,$Q$34,)</formula>
    </cfRule>
  </conditionalFormatting>
  <conditionalFormatting sqref="Q35">
    <cfRule type="cellIs" dxfId="15" priority="23" operator="equal">
      <formula>IF($Q$35&gt;1,$Q$35,)</formula>
    </cfRule>
  </conditionalFormatting>
  <conditionalFormatting sqref="Q36">
    <cfRule type="cellIs" dxfId="14" priority="22" operator="equal">
      <formula>IF($Q$36&gt;1,$Q$36,)</formula>
    </cfRule>
  </conditionalFormatting>
  <conditionalFormatting sqref="Q37:R37">
    <cfRule type="cellIs" dxfId="13" priority="21" operator="equal">
      <formula>IF($Q$37&gt;1,$Q$37,)</formula>
    </cfRule>
  </conditionalFormatting>
  <conditionalFormatting sqref="Q38:R38">
    <cfRule type="cellIs" dxfId="12" priority="20" operator="equal">
      <formula>IF($Q$38&gt;1,$Q$38,)</formula>
    </cfRule>
  </conditionalFormatting>
  <conditionalFormatting sqref="Q39:R39">
    <cfRule type="cellIs" dxfId="11" priority="19" operator="equal">
      <formula>IF($Q$39&gt;1,$Q$39,)</formula>
    </cfRule>
  </conditionalFormatting>
  <conditionalFormatting sqref="Q40:R40">
    <cfRule type="cellIs" dxfId="10" priority="18" operator="equal">
      <formula>IF($Q$40&gt;1,$Q$40,)</formula>
    </cfRule>
  </conditionalFormatting>
  <conditionalFormatting sqref="Q41:R41">
    <cfRule type="cellIs" dxfId="9" priority="17" operator="equal">
      <formula>IF($Q$41&gt;1,$Q$41,)</formula>
    </cfRule>
  </conditionalFormatting>
  <conditionalFormatting sqref="Q42:R42">
    <cfRule type="cellIs" dxfId="8" priority="16" operator="equal">
      <formula>IF($Q$42&gt;1,$Q$42,)</formula>
    </cfRule>
  </conditionalFormatting>
  <conditionalFormatting sqref="Q43:R43">
    <cfRule type="cellIs" dxfId="7" priority="15" operator="equal">
      <formula>IF($Q$43&gt;1,$Q$43,)</formula>
    </cfRule>
  </conditionalFormatting>
  <conditionalFormatting sqref="Q44:R44">
    <cfRule type="cellIs" dxfId="6" priority="14" operator="equal">
      <formula>IF($Q$44&gt;1,$Q$44,)</formula>
    </cfRule>
  </conditionalFormatting>
  <conditionalFormatting sqref="Q45:R45">
    <cfRule type="cellIs" dxfId="5" priority="13" operator="equal">
      <formula>IF($Q$45&gt;1,$Q$45,)</formula>
    </cfRule>
  </conditionalFormatting>
  <conditionalFormatting sqref="Q46:R46">
    <cfRule type="cellIs" dxfId="4" priority="12" operator="equal">
      <formula>IF($Q$46&gt;1,$Q$46,)</formula>
    </cfRule>
  </conditionalFormatting>
  <conditionalFormatting sqref="Q47">
    <cfRule type="cellIs" dxfId="3" priority="11" operator="equal">
      <formula>IF($Q$47&gt;1,$Q$47,)</formula>
    </cfRule>
  </conditionalFormatting>
  <conditionalFormatting sqref="I7:I25">
    <cfRule type="cellIs" dxfId="2" priority="10" operator="notEqual">
      <formula>0</formula>
    </cfRule>
  </conditionalFormatting>
  <conditionalFormatting sqref="M7:M25">
    <cfRule type="cellIs" dxfId="1" priority="9" operator="notEqual">
      <formula>0</formula>
    </cfRule>
  </conditionalFormatting>
  <conditionalFormatting sqref="Q7:Q15">
    <cfRule type="cellIs" dxfId="0" priority="8" operator="notEqual">
      <formula>0</formula>
    </cfRule>
  </conditionalFormatting>
  <conditionalFormatting sqref="G32: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decimal" operator="greaterThan" allowBlank="1" showInputMessage="1" showErrorMessage="1" error="Just positive number is acceptable_x000a_" sqref="F32:F47">
      <formula1>0</formula1>
    </dataValidation>
    <dataValidation type="list" allowBlank="1" showInputMessage="1" showErrorMessage="1" errorTitle="NOTATION!" error="Just Number in Shelf is acceptable." sqref="AK30">
      <formula1>"1,5,10,20,50,100,200,500,1000"</formula1>
    </dataValidation>
    <dataValidation type="decimal" operator="greaterThan" allowBlank="1" showInputMessage="1" showErrorMessage="1" errorTitle="NOTATION!" error="Just positive number is acceptable." sqref="B27:B28 D27:D28 F27 C7:D25">
      <formula1>0</formula1>
    </dataValidation>
    <dataValidation type="decimal" operator="greaterThan" allowBlank="1" showInputMessage="1" showErrorMessage="1" errorTitle="NOTATION!" error="Just positive number is acceptable." sqref="H27">
      <formula1>-0.0000001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h.w-1</vt:lpstr>
      <vt:lpstr>h.w-2</vt:lpstr>
      <vt:lpstr>Truss-Optimization-1</vt:lpstr>
      <vt:lpstr>hale modele</vt:lpstr>
      <vt:lpstr>tir-soton</vt:lpstr>
      <vt:lpstr>tir-varagh</vt:lpstr>
      <vt:lpstr>TRUSS-optimzation-2</vt:lpstr>
      <vt:lpstr>Gable Frame</vt:lpstr>
      <vt:lpstr>'tir-varagh'!OLE_LINK1</vt:lpstr>
    </vt:vector>
  </TitlesOfParts>
  <Company>MRT Win2Farsi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Structural optimization</dc:subject>
  <dc:creator>Salar Delavar Ghashghaei</dc:creator>
  <dc:description>For any Comment or suggestion:salar.d.ghashghaei@gmail.com</dc:description>
  <cp:lastModifiedBy>Windows User</cp:lastModifiedBy>
  <dcterms:created xsi:type="dcterms:W3CDTF">2015-03-03T01:57:24Z</dcterms:created>
  <dcterms:modified xsi:type="dcterms:W3CDTF">2021-06-15T10:34:10Z</dcterms:modified>
</cp:coreProperties>
</file>