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2">
      <text>
        <t xml:space="preserve">EPS refleja la capacidad de la empresa para generar ganancias por acción. Un EPS alto sugiere que la empresa está generando buenos ingresos por cada acción</t>
      </text>
    </comment>
    <comment authorId="0" ref="J2">
      <text>
        <t xml:space="preserve">Un P/E Ratio alto puede sugerir que los inversores esperan que la empresa crezca rápidamente en el futuro, o que está sobrevalorada.
Un P/E Ratio bajo puede sugerir que la empresa está infravalorada o tiene menos expectativas de crecimiento.</t>
      </text>
    </comment>
    <comment authorId="0" ref="L2">
      <text>
        <t xml:space="preserve">FCF positivo: Indica que la empresa está generando más efectivo del que necesita para operar y expandirse.
FCF negativo: Puede señalar que la empresa está gastando más de lo que genera, lo que puede ser un riesgo si no se justifica por inversiones a largo plazo.</t>
      </text>
    </comment>
    <comment authorId="0" ref="N2">
      <text>
        <t xml:space="preserve">El CAGR es útil para comparar el rendimiento de diferentes acciones. Por ejemplo, si una acción tiene un CAGR del 8% durante los últimos 5 años y otra tiene un CAGR del 5%, la primera ha crecido más rápido en promedio</t>
      </text>
    </comment>
    <comment authorId="0" ref="O2">
      <text>
        <t xml:space="preserve">El WACC varía según la empresa, la industria y las condiciones del mercado, pero generalmente fluctúa entre 6% y 15%. Empresas más grandes y estables tienen WACCs más bajos, mientras que las empresas más pequeñas, en crecimiento o en sectores de riesgo, tienden a tener un WACC más alto.</t>
      </text>
    </comment>
    <comment authorId="0" ref="P2">
      <text>
        <t xml:space="preserve">Si el WACC es mayor que el CAGR, la tasa de crecimiento perpetua será del 3%, de lo contrario, será del 2%. Puedes ajustar el valor en función de tus necesidades.</t>
      </text>
    </comment>
  </commentList>
</comments>
</file>

<file path=xl/sharedStrings.xml><?xml version="1.0" encoding="utf-8"?>
<sst xmlns="http://schemas.openxmlformats.org/spreadsheetml/2006/main" count="57" uniqueCount="50">
  <si>
    <t>https://www.gurufocus.com/stock/CVS/summary?search=</t>
  </si>
  <si>
    <t xml:space="preserve">Stock </t>
  </si>
  <si>
    <t>Price</t>
  </si>
  <si>
    <t>Name</t>
  </si>
  <si>
    <t>ChangePct</t>
  </si>
  <si>
    <t>Volume</t>
  </si>
  <si>
    <t>1 Y Trend</t>
  </si>
  <si>
    <t>1Y Price change</t>
  </si>
  <si>
    <t>Marketcap</t>
  </si>
  <si>
    <t>EPS (TTM)</t>
  </si>
  <si>
    <t>P / E RATIO</t>
  </si>
  <si>
    <t>FAIR VALUE P/E</t>
  </si>
  <si>
    <t>FCF</t>
  </si>
  <si>
    <t>Price 5 years Ago</t>
  </si>
  <si>
    <t>Compound Annual Growth Rate (CAGR).</t>
  </si>
  <si>
    <t>Discount Rate (WACC)</t>
  </si>
  <si>
    <t>Perpetual Growth Rate</t>
  </si>
  <si>
    <t>Future FCF Year 1</t>
  </si>
  <si>
    <t>Future FCF Year 2</t>
  </si>
  <si>
    <t>Future FCF Year 3</t>
  </si>
  <si>
    <t>Future FCF Year 4</t>
  </si>
  <si>
    <t>Future FCF Year 5</t>
  </si>
  <si>
    <t>Company Value</t>
  </si>
  <si>
    <t>Terminal Value</t>
  </si>
  <si>
    <t>Discount Terminal Value to Present Value.</t>
  </si>
  <si>
    <t>Fair Value FCF</t>
  </si>
  <si>
    <t>Number of Shares Outstanding</t>
  </si>
  <si>
    <t>LI</t>
  </si>
  <si>
    <t>CVS</t>
  </si>
  <si>
    <t>NIO</t>
  </si>
  <si>
    <t>SOFI</t>
  </si>
  <si>
    <t>PFE</t>
  </si>
  <si>
    <t>ULTA</t>
  </si>
  <si>
    <t>SNOW</t>
  </si>
  <si>
    <t>JD</t>
  </si>
  <si>
    <t>VALE</t>
  </si>
  <si>
    <t>INTC</t>
  </si>
  <si>
    <t>TLT</t>
  </si>
  <si>
    <t>-</t>
  </si>
  <si>
    <t>WBA</t>
  </si>
  <si>
    <t>DG</t>
  </si>
  <si>
    <t>OXY</t>
  </si>
  <si>
    <t>NKE</t>
  </si>
  <si>
    <t>BABA</t>
  </si>
  <si>
    <t>NTES</t>
  </si>
  <si>
    <t>GOOG</t>
  </si>
  <si>
    <t>PDD</t>
  </si>
  <si>
    <t>HUM</t>
  </si>
  <si>
    <t>INMD</t>
  </si>
  <si>
    <t>ICLN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</si>
</sst>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+0.00&quot;%&quot;[Color 50];-0.00&quot;%&quot;[red];&quot;-&quot;"/>
    <numFmt numFmtId="166" formatCode="#,##0.00,,&quot;M&quot;"/>
    <numFmt numFmtId="167" formatCode="&quot;$&quot;#,##0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b/>
      <u/>
      <color rgb="FF0000FF"/>
    </font>
    <font>
      <color theme="1"/>
      <name val="Arial"/>
      <scheme val="minor"/>
    </font>
    <font>
      <sz val="9.0"/>
      <color rgb="FF000000"/>
      <name val="&quot;Google Sans Mono&quot;"/>
    </font>
    <font>
      <sz val="11.0"/>
      <color rgb="FF232A31"/>
      <name val="&quot;GT America&quot;"/>
    </font>
    <font>
      <sz val="11.0"/>
      <color rgb="FF232A31"/>
      <name val="Arial"/>
    </font>
    <font>
      <sz val="9.0"/>
      <color rgb="FF232A31"/>
      <name val="&quot;GT America&quot;"/>
    </font>
    <font>
      <sz val="12.0"/>
      <color rgb="FF000000"/>
      <name val="&quot;Times New Roman&quot;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BDBDBD"/>
        <bgColor rgb="FFBDBDBD"/>
      </patternFill>
    </fill>
    <fill>
      <patternFill patternType="solid">
        <fgColor rgb="FFF0F3F5"/>
        <bgColor rgb="FFF0F3F5"/>
      </patternFill>
    </fill>
    <fill>
      <patternFill patternType="solid">
        <fgColor rgb="FFDDE0E4"/>
        <bgColor rgb="FFDDE0E4"/>
      </patternFill>
    </fill>
  </fills>
  <borders count="1">
    <border/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164" xfId="0" applyAlignment="1" applyFont="1" applyNumberFormat="1">
      <alignment horizontal="center" readingOrder="0" vertical="center"/>
    </xf>
    <xf borderId="0" fillId="0" fontId="1" numFmtId="165" xfId="0" applyAlignment="1" applyFont="1" applyNumberFormat="1">
      <alignment horizontal="center" readingOrder="0" vertical="center"/>
    </xf>
    <xf borderId="0" fillId="0" fontId="1" numFmtId="166" xfId="0" applyAlignment="1" applyFont="1" applyNumberFormat="1">
      <alignment horizontal="center" readingOrder="0" vertical="center"/>
    </xf>
    <xf borderId="0" fillId="0" fontId="1" numFmtId="167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2" fontId="1" numFmtId="164" xfId="0" applyAlignment="1" applyFill="1" applyFont="1" applyNumberFormat="1">
      <alignment horizontal="center" readingOrder="0" shrinkToFit="0" vertical="center" wrapText="1"/>
    </xf>
    <xf borderId="0" fillId="0" fontId="1" numFmtId="167" xfId="0" applyAlignment="1" applyFont="1" applyNumberFormat="1">
      <alignment horizontal="center" readingOrder="0" vertical="center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left" readingOrder="0" shrinkToFit="0" vertical="center" wrapText="0"/>
    </xf>
    <xf borderId="0" fillId="0" fontId="3" numFmtId="4" xfId="0" applyFont="1" applyNumberFormat="1"/>
    <xf borderId="0" fillId="3" fontId="1" numFmtId="164" xfId="0" applyAlignment="1" applyFill="1" applyFont="1" applyNumberFormat="1">
      <alignment horizontal="center" readingOrder="0" shrinkToFit="0" vertical="center" wrapText="1"/>
    </xf>
    <xf borderId="0" fillId="0" fontId="1" numFmtId="4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0" fillId="4" fontId="1" numFmtId="0" xfId="0" applyAlignment="1" applyFill="1" applyFont="1">
      <alignment readingOrder="0" shrinkToFit="0" vertical="center" wrapText="1"/>
    </xf>
    <xf borderId="0" fillId="4" fontId="1" numFmtId="4" xfId="0" applyAlignment="1" applyFont="1" applyNumberFormat="1">
      <alignment readingOrder="0" shrinkToFit="0" vertical="center" wrapText="1"/>
    </xf>
    <xf borderId="0" fillId="0" fontId="3" numFmtId="0" xfId="0" applyAlignment="1" applyFont="1">
      <alignment readingOrder="0" vertical="center"/>
    </xf>
    <xf borderId="0" fillId="0" fontId="3" numFmtId="164" xfId="0" applyAlignment="1" applyFont="1" applyNumberFormat="1">
      <alignment vertical="center"/>
    </xf>
    <xf borderId="0" fillId="0" fontId="3" numFmtId="0" xfId="0" applyAlignment="1" applyFont="1">
      <alignment vertical="center"/>
    </xf>
    <xf borderId="0" fillId="0" fontId="1" numFmtId="165" xfId="0" applyAlignment="1" applyFont="1" applyNumberFormat="1">
      <alignment vertical="center"/>
    </xf>
    <xf borderId="0" fillId="0" fontId="3" numFmtId="166" xfId="0" applyAlignment="1" applyFont="1" applyNumberFormat="1">
      <alignment vertical="center"/>
    </xf>
    <xf borderId="0" fillId="2" fontId="4" numFmtId="0" xfId="0" applyFont="1"/>
    <xf borderId="0" fillId="2" fontId="4" numFmtId="167" xfId="0" applyAlignment="1" applyFont="1" applyNumberFormat="1">
      <alignment horizontal="right" readingOrder="0"/>
    </xf>
    <xf borderId="0" fillId="2" fontId="4" numFmtId="2" xfId="0" applyAlignment="1" applyFont="1" applyNumberFormat="1">
      <alignment horizontal="center" readingOrder="0"/>
    </xf>
    <xf borderId="0" fillId="2" fontId="4" numFmtId="2" xfId="0" applyFont="1" applyNumberFormat="1"/>
    <xf borderId="0" fillId="3" fontId="4" numFmtId="164" xfId="0" applyFont="1" applyNumberFormat="1"/>
    <xf borderId="0" fillId="5" fontId="5" numFmtId="167" xfId="0" applyAlignment="1" applyFill="1" applyFont="1" applyNumberFormat="1">
      <alignment readingOrder="0" shrinkToFit="0" wrapText="0"/>
    </xf>
    <xf borderId="0" fillId="2" fontId="4" numFmtId="4" xfId="0" applyAlignment="1" applyFont="1" applyNumberFormat="1">
      <alignment readingOrder="0"/>
    </xf>
    <xf borderId="0" fillId="2" fontId="4" numFmtId="0" xfId="0" applyFont="1"/>
    <xf borderId="0" fillId="2" fontId="4" numFmtId="167" xfId="0" applyFont="1" applyNumberFormat="1"/>
    <xf borderId="0" fillId="0" fontId="3" numFmtId="167" xfId="0" applyFont="1" applyNumberFormat="1"/>
    <xf borderId="0" fillId="2" fontId="4" numFmtId="0" xfId="0" applyAlignment="1" applyFont="1">
      <alignment horizontal="center" readingOrder="0"/>
    </xf>
    <xf borderId="0" fillId="6" fontId="6" numFmtId="167" xfId="0" applyAlignment="1" applyFill="1" applyFont="1" applyNumberFormat="1">
      <alignment readingOrder="0" shrinkToFit="0" wrapText="0"/>
    </xf>
    <xf borderId="0" fillId="0" fontId="3" numFmtId="167" xfId="0" applyFont="1" applyNumberFormat="1"/>
    <xf borderId="0" fillId="2" fontId="4" numFmtId="2" xfId="0" applyAlignment="1" applyFont="1" applyNumberFormat="1">
      <alignment readingOrder="0"/>
    </xf>
    <xf borderId="0" fillId="6" fontId="5" numFmtId="167" xfId="0" applyAlignment="1" applyFont="1" applyNumberFormat="1">
      <alignment readingOrder="0" shrinkToFit="0" wrapText="0"/>
    </xf>
    <xf borderId="0" fillId="0" fontId="3" numFmtId="164" xfId="0" applyFont="1" applyNumberFormat="1"/>
    <xf borderId="0" fillId="2" fontId="7" numFmtId="0" xfId="0" applyAlignment="1" applyFont="1">
      <alignment horizontal="center" readingOrder="0" shrinkToFit="0" wrapText="0"/>
    </xf>
    <xf borderId="0" fillId="2" fontId="4" numFmtId="2" xfId="0" applyAlignment="1" applyFont="1" applyNumberFormat="1">
      <alignment readingOrder="0"/>
    </xf>
    <xf borderId="0" fillId="0" fontId="8" numFmtId="167" xfId="0" applyAlignment="1" applyFont="1" applyNumberFormat="1">
      <alignment readingOrder="0" shrinkToFit="0" wrapText="0"/>
    </xf>
    <xf borderId="0" fillId="3" fontId="4" numFmtId="164" xfId="0" applyAlignment="1" applyFont="1" applyNumberFormat="1">
      <alignment horizontal="center" readingOrder="0"/>
    </xf>
    <xf borderId="0" fillId="0" fontId="8" numFmtId="167" xfId="0" applyAlignment="1" applyFont="1" applyNumberFormat="1">
      <alignment horizontal="center" readingOrder="0" shrinkToFit="0" wrapText="0"/>
    </xf>
    <xf borderId="0" fillId="2" fontId="4" numFmtId="4" xfId="0" applyFont="1" applyNumberFormat="1"/>
    <xf borderId="0" fillId="0" fontId="3" numFmtId="0" xfId="0" applyFont="1"/>
    <xf borderId="0" fillId="2" fontId="4" numFmtId="167" xfId="0" applyAlignment="1" applyFont="1" applyNumberFormat="1">
      <alignment horizontal="center" readingOrder="0"/>
    </xf>
    <xf borderId="0" fillId="2" fontId="4" numFmtId="167" xfId="0" applyAlignment="1" applyFont="1" applyNumberFormat="1">
      <alignment horizontal="center" readingOrder="0"/>
    </xf>
    <xf borderId="0" fillId="0" fontId="3" numFmtId="164" xfId="0" applyFont="1" applyNumberFormat="1"/>
    <xf borderId="0" fillId="0" fontId="1" numFmtId="165" xfId="0" applyFont="1" applyNumberFormat="1"/>
    <xf borderId="0" fillId="0" fontId="3" numFmtId="166" xfId="0" applyFont="1" applyNumberFormat="1"/>
    <xf borderId="0" fillId="0" fontId="3" numFmtId="167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2" fontId="3" numFmtId="16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Q24" displayName="Table_1" name="Table_1" id="1">
  <tableColumns count="17">
    <tableColumn name="Stock " id="1"/>
    <tableColumn name="Price" id="2"/>
    <tableColumn name="Name" id="3"/>
    <tableColumn name="ChangePct" id="4"/>
    <tableColumn name="Volume" id="5"/>
    <tableColumn name="1 Y Trend" id="6"/>
    <tableColumn name="1Y Price change" id="7"/>
    <tableColumn name="Marketcap" id="8"/>
    <tableColumn name="EPS (TTM)" id="9"/>
    <tableColumn name="P / E RATIO" id="10"/>
    <tableColumn name="FAIR VALUE P/E" id="11"/>
    <tableColumn name="FCF" id="12"/>
    <tableColumn name="Price 5 years Ago" id="13"/>
    <tableColumn name="Compound Annual Growth Rate (CAGR)." id="14"/>
    <tableColumn name="Discount Rate (WACC)" id="15"/>
    <tableColumn name="Perpetual Growth Rate" id="16"/>
    <tableColumn name="Future FCF Year 1" id="17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gurufocus.com/stock/CVS/summary?search=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6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9.38"/>
    <col customWidth="1" min="3" max="3" width="28.88"/>
    <col customWidth="1" min="7" max="7" width="13.88"/>
    <col customWidth="1" min="8" max="8" width="14.75"/>
    <col customWidth="1" min="12" max="12" width="16.88"/>
    <col customWidth="1" min="13" max="14" width="11.75"/>
    <col customWidth="1" min="17" max="18" width="16.5"/>
    <col customWidth="1" min="19" max="19" width="16.0"/>
    <col customWidth="1" min="20" max="20" width="15.88"/>
    <col customWidth="1" min="21" max="21" width="15.5"/>
    <col customWidth="1" min="22" max="22" width="17.38"/>
    <col customWidth="1" min="23" max="23" width="16.25"/>
    <col customWidth="1" min="24" max="24" width="17.63"/>
    <col customWidth="1" min="25" max="25" width="16.5"/>
    <col customWidth="1" min="26" max="26" width="15.13"/>
  </cols>
  <sheetData>
    <row r="1" hidden="1">
      <c r="A1" s="1"/>
      <c r="B1" s="2"/>
      <c r="C1" s="1"/>
      <c r="D1" s="3"/>
      <c r="E1" s="4"/>
      <c r="F1" s="1"/>
      <c r="G1" s="1"/>
      <c r="H1" s="5"/>
      <c r="I1" s="1"/>
      <c r="J1" s="6"/>
      <c r="K1" s="7"/>
      <c r="L1" s="8"/>
      <c r="M1" s="6"/>
      <c r="N1" s="9"/>
      <c r="O1" s="10" t="s">
        <v>0</v>
      </c>
      <c r="P1" s="6"/>
      <c r="Z1" s="11"/>
    </row>
    <row r="2">
      <c r="A2" s="1" t="s">
        <v>1</v>
      </c>
      <c r="B2" s="2" t="s">
        <v>2</v>
      </c>
      <c r="C2" s="1" t="s">
        <v>3</v>
      </c>
      <c r="D2" s="3" t="s">
        <v>4</v>
      </c>
      <c r="E2" s="4" t="s">
        <v>5</v>
      </c>
      <c r="F2" s="1" t="s">
        <v>6</v>
      </c>
      <c r="G2" s="1" t="s">
        <v>7</v>
      </c>
      <c r="H2" s="5" t="s">
        <v>8</v>
      </c>
      <c r="I2" s="1" t="s">
        <v>9</v>
      </c>
      <c r="J2" s="6" t="s">
        <v>10</v>
      </c>
      <c r="K2" s="12" t="s">
        <v>11</v>
      </c>
      <c r="L2" s="8" t="s">
        <v>12</v>
      </c>
      <c r="M2" s="6" t="s">
        <v>13</v>
      </c>
      <c r="N2" s="9" t="s">
        <v>14</v>
      </c>
      <c r="O2" s="13" t="s">
        <v>15</v>
      </c>
      <c r="P2" s="14" t="s">
        <v>16</v>
      </c>
      <c r="Q2" s="15" t="s">
        <v>17</v>
      </c>
      <c r="R2" s="15" t="s">
        <v>18</v>
      </c>
      <c r="S2" s="15" t="s">
        <v>19</v>
      </c>
      <c r="T2" s="15" t="s">
        <v>20</v>
      </c>
      <c r="U2" s="15" t="s">
        <v>21</v>
      </c>
      <c r="V2" s="15" t="s">
        <v>22</v>
      </c>
      <c r="W2" s="16" t="s">
        <v>23</v>
      </c>
      <c r="X2" s="16" t="s">
        <v>24</v>
      </c>
      <c r="Y2" s="16" t="s">
        <v>25</v>
      </c>
      <c r="Z2" s="17" t="s">
        <v>26</v>
      </c>
    </row>
    <row r="3" ht="26.25" customHeight="1">
      <c r="A3" s="18" t="s">
        <v>27</v>
      </c>
      <c r="B3" s="19">
        <f>IFERROR(__xludf.DUMMYFUNCTION("GOOGLEFINANCE($A3,B$2)"),27.56)</f>
        <v>27.56</v>
      </c>
      <c r="C3" s="20" t="str">
        <f>IFERROR(__xludf.DUMMYFUNCTION("GOOGLEFINANCE($A3,C$2)"),"Li Auto Inc")</f>
        <v>Li Auto Inc</v>
      </c>
      <c r="D3" s="21">
        <f>IFERROR(__xludf.DUMMYFUNCTION("GOOGLEFINANCE($A3,D$2)"),1.81)</f>
        <v>1.81</v>
      </c>
      <c r="E3" s="22">
        <f>IFERROR(__xludf.DUMMYFUNCTION("GOOGLEFINANCE($A3,E$2)"),3190319.0)</f>
        <v>3190319</v>
      </c>
      <c r="F3" s="23" t="str">
        <f>IFERROR(__xludf.DUMMYFUNCTION("SPARKLINE(INDEX(GOOGLEFINANCE(A3,""price"",TODAY()-365,TODAY()),,2), 
{""charttype"",""line""; 
""color"", IF(G3&gt;0, ""green"", ""red"")})"),"")</f>
        <v/>
      </c>
      <c r="G3" s="23">
        <f>IFERROR(__xludf.DUMMYFUNCTION("GOOGLEFINANCE(A3, ""price"") - INDEX(GOOGLEFINANCE(A3, ""price"", TODAY()-365, TODAY()), 2, 2)"),-6.34)</f>
        <v>-6.34</v>
      </c>
      <c r="H3" s="24">
        <f>IFERROR(__xludf.DUMMYFUNCTION("GOOGLEFINANCE($A3,H$2)"),2.9865091889E10)</f>
        <v>29865091889</v>
      </c>
      <c r="I3" s="25">
        <v>1.4</v>
      </c>
      <c r="J3" s="26">
        <f>IFERROR(__xludf.DUMMYFUNCTION("GOOGLEFINANCE(A3, ""pe"")
"),20.42)</f>
        <v>20.42</v>
      </c>
      <c r="K3" s="27">
        <f>IFERROR(__xludf.DUMMYFUNCTION("I3 * GOOGLEFINANCE(A3, ""pe"")
"),28.588)</f>
        <v>28.588</v>
      </c>
      <c r="L3" s="28">
        <f>-22620357.67*1000</f>
        <v>-22620357670</v>
      </c>
      <c r="M3" s="23">
        <f>IFERROR(__xludf.DUMMYFUNCTION("INDEX(GOOGLEFINANCE(A3, ""price"", TODAY()-365*5, TODAY()), 2, 2)
"),16.46)</f>
        <v>16.46</v>
      </c>
      <c r="N3" s="26">
        <f t="shared" ref="N3:N24" si="1">((B3 / M3) ^ (1 / 5)) - 1</f>
        <v>0.1085872425</v>
      </c>
      <c r="O3" s="29">
        <v>0.14</v>
      </c>
      <c r="P3" s="30">
        <f t="shared" ref="P3:P24" si="2">IF(O3&gt;N3, 0.03, 0.02)</f>
        <v>0.03</v>
      </c>
      <c r="Q3" s="31">
        <f t="shared" ref="Q3:Q20" si="3">$L3 / (1 + $O3)^1</f>
        <v>-19842419009</v>
      </c>
      <c r="R3" s="31">
        <f t="shared" ref="R3:R20" si="4">$L3 / (1 + $O3)^2</f>
        <v>-17405630709</v>
      </c>
      <c r="S3" s="31">
        <f t="shared" ref="S3:S20" si="5">$L3 / (1 + $O3)^3</f>
        <v>-15268097114</v>
      </c>
      <c r="T3" s="31">
        <f t="shared" ref="T3:T20" si="6">$L3 / (1 + $O3)^4</f>
        <v>-13393067643</v>
      </c>
      <c r="U3" s="31">
        <f t="shared" ref="U3:U20" si="7">$L3 / (1 + $O3)^5</f>
        <v>-11748304950</v>
      </c>
      <c r="V3" s="32">
        <f t="shared" ref="V3:V23" si="8">SUM(Q3:U3)</f>
        <v>-77657519426</v>
      </c>
      <c r="W3" s="32">
        <f t="shared" ref="W3:W23" si="9">L3 / (O3-0.02)</f>
        <v>-188502980583</v>
      </c>
      <c r="X3" s="32">
        <f t="shared" ref="X3:X23" si="10">W3 / (1 + O3)^5</f>
        <v>-97902541253</v>
      </c>
      <c r="Y3" s="32">
        <f t="shared" ref="Y3:Y23" si="11">SUM(V3+X3)</f>
        <v>-175560060679</v>
      </c>
      <c r="Z3" s="11">
        <f t="shared" ref="Z3:Z23" si="12">H3/B3</f>
        <v>1083639038</v>
      </c>
    </row>
    <row r="4" ht="26.25" customHeight="1">
      <c r="A4" s="18" t="s">
        <v>28</v>
      </c>
      <c r="B4" s="19">
        <f>IFERROR(__xludf.DUMMYFUNCTION("GOOGLEFINANCE(A4,""price"")"),56.45)</f>
        <v>56.45</v>
      </c>
      <c r="C4" s="20" t="str">
        <f>IFERROR(__xludf.DUMMYFUNCTION("GOOGLEFINANCE($A4,C$2)"),"CVS Health Corp")</f>
        <v>CVS Health Corp</v>
      </c>
      <c r="D4" s="21">
        <f>IFERROR(__xludf.DUMMYFUNCTION("GOOGLEFINANCE($A4,D$2)"),-0.58)</f>
        <v>-0.58</v>
      </c>
      <c r="E4" s="22">
        <f>IFERROR(__xludf.DUMMYFUNCTION("GOOGLEFINANCE($A4,E$2)"),4301789.0)</f>
        <v>4301789</v>
      </c>
      <c r="F4" s="23" t="str">
        <f>IFERROR(__xludf.DUMMYFUNCTION("SPARKLINE(INDEX(GOOGLEFINANCE(A4,""price"",TODAY()-365,TODAY()),,2), 
{""charttype"",""line""; 
""color"", IF(G4&gt;0, ""green"", ""red"")})"),"")</f>
        <v/>
      </c>
      <c r="G4" s="23">
        <f>IFERROR(__xludf.DUMMYFUNCTION("GOOGLEFINANCE(A4, ""price"") - INDEX(GOOGLEFINANCE(A4, ""price"", TODAY()-365, TODAY()), 2, 2)"),-12.079999999999998)</f>
        <v>-12.08</v>
      </c>
      <c r="H4" s="24">
        <f>IFERROR(__xludf.DUMMYFUNCTION("GOOGLEFINANCE($A4,H$2)"),7.1012915509E10)</f>
        <v>71012915509</v>
      </c>
      <c r="I4" s="33">
        <v>5.49</v>
      </c>
      <c r="J4" s="26">
        <f>IFERROR(__xludf.DUMMYFUNCTION("GOOGLEFINANCE(A4, ""pe"")
"),10.05)</f>
        <v>10.05</v>
      </c>
      <c r="K4" s="27">
        <f>IFERROR(__xludf.DUMMYFUNCTION(" I4*GOOGLEFINANCE(A4, ""pe"")"),55.17450000000001)</f>
        <v>55.1745</v>
      </c>
      <c r="L4" s="34">
        <v>5.273E9</v>
      </c>
      <c r="M4" s="23">
        <f>IFERROR(__xludf.DUMMYFUNCTION("INDEX(GOOGLEFINANCE(A4, ""price"", TODAY()-365*5, TODAY()), 2, 2)
"),65.88)</f>
        <v>65.88</v>
      </c>
      <c r="N4" s="26">
        <f t="shared" si="1"/>
        <v>-0.03042352151</v>
      </c>
      <c r="O4" s="29">
        <v>0.04</v>
      </c>
      <c r="P4" s="30">
        <f t="shared" si="2"/>
        <v>0.03</v>
      </c>
      <c r="Q4" s="31">
        <f t="shared" si="3"/>
        <v>5070192308</v>
      </c>
      <c r="R4" s="31">
        <f t="shared" si="4"/>
        <v>4875184911</v>
      </c>
      <c r="S4" s="31">
        <f t="shared" si="5"/>
        <v>4687677799</v>
      </c>
      <c r="T4" s="31">
        <f t="shared" si="6"/>
        <v>4507382499</v>
      </c>
      <c r="U4" s="31">
        <f t="shared" si="7"/>
        <v>4334021634</v>
      </c>
      <c r="V4" s="32">
        <f t="shared" si="8"/>
        <v>23474459151</v>
      </c>
      <c r="W4" s="32">
        <f t="shared" si="9"/>
        <v>263650000000</v>
      </c>
      <c r="X4" s="32">
        <f t="shared" si="10"/>
        <v>216701081697</v>
      </c>
      <c r="Y4" s="35">
        <f t="shared" si="11"/>
        <v>240175540849</v>
      </c>
      <c r="Z4" s="11">
        <f t="shared" si="12"/>
        <v>1257979017</v>
      </c>
    </row>
    <row r="5" ht="26.25" customHeight="1">
      <c r="A5" s="18" t="s">
        <v>29</v>
      </c>
      <c r="B5" s="19">
        <f>IFERROR(__xludf.DUMMYFUNCTION("GOOGLEFINANCE(A5,""price"")"),5.02)</f>
        <v>5.02</v>
      </c>
      <c r="C5" s="20" t="str">
        <f>IFERROR(__xludf.DUMMYFUNCTION("GOOGLEFINANCE($A5,C$2)"),"Nio Inc - ADR")</f>
        <v>Nio Inc - ADR</v>
      </c>
      <c r="D5" s="21">
        <f>IFERROR(__xludf.DUMMYFUNCTION("GOOGLEFINANCE($A5,D$2)"),-3.28)</f>
        <v>-3.28</v>
      </c>
      <c r="E5" s="22">
        <f>IFERROR(__xludf.DUMMYFUNCTION("GOOGLEFINANCE($A5,E$2)"),3.4123867E7)</f>
        <v>34123867</v>
      </c>
      <c r="F5" s="23" t="str">
        <f>IFERROR(__xludf.DUMMYFUNCTION("SPARKLINE(INDEX(GOOGLEFINANCE(A5,""price"",TODAY()-365,TODAY()),,2), 
{""charttype"",""line""; 
""color"", IF(G5&gt;0, ""green"", ""red"")})"),"")</f>
        <v/>
      </c>
      <c r="G5" s="23">
        <f>IFERROR(__xludf.DUMMYFUNCTION("GOOGLEFINANCE(A5, ""price"") - INDEX(GOOGLEFINANCE(A5, ""price"", TODAY()-365, TODAY()), 2, 2)"),-2.58)</f>
        <v>-2.58</v>
      </c>
      <c r="H5" s="24">
        <f>IFERROR(__xludf.DUMMYFUNCTION("GOOGLEFINANCE($A5,H$2)"),1.0508895596E10)</f>
        <v>10508895596</v>
      </c>
      <c r="I5" s="33">
        <v>-1.56</v>
      </c>
      <c r="J5" s="36">
        <v>-2.9</v>
      </c>
      <c r="K5" s="27">
        <f t="shared" ref="K5:K7" si="13"> I5*J5</f>
        <v>4.524</v>
      </c>
      <c r="L5" s="37">
        <f>-15722317*1000</f>
        <v>-15722317000</v>
      </c>
      <c r="M5" s="23">
        <f>IFERROR(__xludf.DUMMYFUNCTION("INDEX(GOOGLEFINANCE(A5, ""price"", TODAY()-365*5, TODAY()), 2, 2)
"),1.48)</f>
        <v>1.48</v>
      </c>
      <c r="N5" s="26">
        <f t="shared" si="1"/>
        <v>0.2766986535</v>
      </c>
      <c r="O5" s="29">
        <v>0.0756</v>
      </c>
      <c r="P5" s="30">
        <f t="shared" si="2"/>
        <v>0.02</v>
      </c>
      <c r="Q5" s="31">
        <f t="shared" si="3"/>
        <v>-14617252696</v>
      </c>
      <c r="R5" s="31">
        <f t="shared" si="4"/>
        <v>-13589859331</v>
      </c>
      <c r="S5" s="31">
        <f t="shared" si="5"/>
        <v>-12634677697</v>
      </c>
      <c r="T5" s="31">
        <f t="shared" si="6"/>
        <v>-11746632295</v>
      </c>
      <c r="U5" s="31">
        <f t="shared" si="7"/>
        <v>-10921004365</v>
      </c>
      <c r="V5" s="32">
        <f t="shared" si="8"/>
        <v>-63509426384</v>
      </c>
      <c r="W5" s="32">
        <f t="shared" si="9"/>
        <v>-282775485612</v>
      </c>
      <c r="X5" s="32">
        <f t="shared" si="10"/>
        <v>-196420941823</v>
      </c>
      <c r="Y5" s="32">
        <f t="shared" si="11"/>
        <v>-259930368207</v>
      </c>
      <c r="Z5" s="38">
        <f t="shared" si="12"/>
        <v>2093405497</v>
      </c>
    </row>
    <row r="6" ht="26.25" customHeight="1">
      <c r="A6" s="18" t="s">
        <v>30</v>
      </c>
      <c r="B6" s="19">
        <f>IFERROR(__xludf.DUMMYFUNCTION("GOOGLEFINANCE(A6,""price"")"),10.82)</f>
        <v>10.82</v>
      </c>
      <c r="C6" s="20" t="str">
        <f>IFERROR(__xludf.DUMMYFUNCTION("GOOGLEFINANCE($A6,C$2)"),"SoFi Technologies Inc")</f>
        <v>SoFi Technologies Inc</v>
      </c>
      <c r="D6" s="21">
        <f>IFERROR(__xludf.DUMMYFUNCTION("GOOGLEFINANCE($A6,D$2)"),3.79)</f>
        <v>3.79</v>
      </c>
      <c r="E6" s="22">
        <f>IFERROR(__xludf.DUMMYFUNCTION("GOOGLEFINANCE($A6,E$2)"),5.4116456E7)</f>
        <v>54116456</v>
      </c>
      <c r="F6" s="23" t="str">
        <f>IFERROR(__xludf.DUMMYFUNCTION("SPARKLINE(INDEX(GOOGLEFINANCE(A6,""price"",TODAY()-365,TODAY()),,2), 
{""charttype"",""line""; 
""color"", IF(G6&gt;0, ""green"", ""red"")})"),"")</f>
        <v/>
      </c>
      <c r="G6" s="23">
        <f>IFERROR(__xludf.DUMMYFUNCTION("GOOGLEFINANCE(A6, ""price"") - INDEX(GOOGLEFINANCE(A6, ""price"", TODAY()-365, TODAY()), 2, 2)"),3.74)</f>
        <v>3.74</v>
      </c>
      <c r="H6" s="24">
        <f>IFERROR(__xludf.DUMMYFUNCTION("GOOGLEFINANCE($A6,H$2)"),1.1528194727E10)</f>
        <v>11528194727</v>
      </c>
      <c r="I6" s="39">
        <v>-0.22</v>
      </c>
      <c r="J6" s="36">
        <v>-59.31</v>
      </c>
      <c r="K6" s="27">
        <f t="shared" si="13"/>
        <v>13.0482</v>
      </c>
      <c r="L6" s="37">
        <f>-2821229*1000</f>
        <v>-2821229000</v>
      </c>
      <c r="M6" s="23">
        <f>IFERROR(__xludf.DUMMYFUNCTION("INDEX(GOOGLEFINANCE(A6, ""price"", TODAY()-365*5, TODAY()), 2, 2)
"),10.48)</f>
        <v>10.48</v>
      </c>
      <c r="N6" s="26">
        <f t="shared" si="1"/>
        <v>0.006405949795</v>
      </c>
      <c r="O6" s="29">
        <v>0.18</v>
      </c>
      <c r="P6" s="30">
        <f t="shared" si="2"/>
        <v>0.03</v>
      </c>
      <c r="Q6" s="31">
        <f t="shared" si="3"/>
        <v>-2390872034</v>
      </c>
      <c r="R6" s="31">
        <f t="shared" si="4"/>
        <v>-2026162741</v>
      </c>
      <c r="S6" s="31">
        <f t="shared" si="5"/>
        <v>-1717087068</v>
      </c>
      <c r="T6" s="31">
        <f t="shared" si="6"/>
        <v>-1455158532</v>
      </c>
      <c r="U6" s="31">
        <f t="shared" si="7"/>
        <v>-1233185197</v>
      </c>
      <c r="V6" s="32">
        <f t="shared" si="8"/>
        <v>-8822465572</v>
      </c>
      <c r="W6" s="32">
        <f t="shared" si="9"/>
        <v>-17632681250</v>
      </c>
      <c r="X6" s="32">
        <f t="shared" si="10"/>
        <v>-7707407481</v>
      </c>
      <c r="Y6" s="32">
        <f t="shared" si="11"/>
        <v>-16529873053</v>
      </c>
      <c r="Z6" s="38">
        <f t="shared" si="12"/>
        <v>1065452378</v>
      </c>
    </row>
    <row r="7" ht="26.25" customHeight="1">
      <c r="A7" s="18" t="s">
        <v>31</v>
      </c>
      <c r="B7" s="19">
        <f>IFERROR(__xludf.DUMMYFUNCTION("GOOGLEFINANCE(A7,""price"")"),28.62)</f>
        <v>28.62</v>
      </c>
      <c r="C7" s="20" t="str">
        <f>IFERROR(__xludf.DUMMYFUNCTION("GOOGLEFINANCE($A7,C$2)"),"Pfizer Inc")</f>
        <v>Pfizer Inc</v>
      </c>
      <c r="D7" s="21">
        <f>IFERROR(__xludf.DUMMYFUNCTION("GOOGLEFINANCE($A7,D$2)"),-0.85)</f>
        <v>-0.85</v>
      </c>
      <c r="E7" s="22">
        <f>IFERROR(__xludf.DUMMYFUNCTION("GOOGLEFINANCE($A7,E$2)"),1.3974016E7)</f>
        <v>13974016</v>
      </c>
      <c r="F7" s="23" t="str">
        <f>IFERROR(__xludf.DUMMYFUNCTION("SPARKLINE(INDEX(GOOGLEFINANCE(A7,""price"",TODAY()-365,TODAY()),,2), 
{""charttype"",""line""; 
""color"", IF(G7&gt;0, ""green"", ""red"")})"),"")</f>
        <v/>
      </c>
      <c r="G7" s="23">
        <f>IFERROR(__xludf.DUMMYFUNCTION("GOOGLEFINANCE(A7, ""price"") - INDEX(GOOGLEFINANCE(A7, ""price"", TODAY()-365, TODAY()), 2, 2)"),-2.1099999999999994)</f>
        <v>-2.11</v>
      </c>
      <c r="H7" s="24">
        <f>IFERROR(__xludf.DUMMYFUNCTION("GOOGLEFINANCE($A7,H$2)"),1.62152447512E11)</f>
        <v>162152447512</v>
      </c>
      <c r="I7" s="39">
        <v>-0.46</v>
      </c>
      <c r="J7" s="40">
        <v>21.64</v>
      </c>
      <c r="K7" s="27">
        <f t="shared" si="13"/>
        <v>-9.9544</v>
      </c>
      <c r="L7" s="34">
        <f>4810000*1000</f>
        <v>4810000000</v>
      </c>
      <c r="M7" s="23">
        <f>IFERROR(__xludf.DUMMYFUNCTION("INDEX(GOOGLEFINANCE(A7, ""price"", TODAY()-365*5, TODAY()), 2, 2)
"),35.32)</f>
        <v>35.32</v>
      </c>
      <c r="N7" s="26">
        <f t="shared" si="1"/>
        <v>-0.041196111</v>
      </c>
      <c r="O7" s="29">
        <v>0.06</v>
      </c>
      <c r="P7" s="30">
        <f t="shared" si="2"/>
        <v>0.03</v>
      </c>
      <c r="Q7" s="31">
        <f t="shared" si="3"/>
        <v>4537735849</v>
      </c>
      <c r="R7" s="31">
        <f t="shared" si="4"/>
        <v>4280882876</v>
      </c>
      <c r="S7" s="31">
        <f t="shared" si="5"/>
        <v>4038568751</v>
      </c>
      <c r="T7" s="31">
        <f t="shared" si="6"/>
        <v>3809970520</v>
      </c>
      <c r="U7" s="31">
        <f t="shared" si="7"/>
        <v>3594311811</v>
      </c>
      <c r="V7" s="32">
        <f t="shared" si="8"/>
        <v>20261469809</v>
      </c>
      <c r="W7" s="32">
        <f t="shared" si="9"/>
        <v>120250000000</v>
      </c>
      <c r="X7" s="32">
        <f t="shared" si="10"/>
        <v>89857795287</v>
      </c>
      <c r="Y7" s="32">
        <f t="shared" si="11"/>
        <v>110119265096</v>
      </c>
      <c r="Z7" s="38">
        <f t="shared" si="12"/>
        <v>5665703966</v>
      </c>
    </row>
    <row r="8" ht="26.25" customHeight="1">
      <c r="A8" s="18" t="s">
        <v>32</v>
      </c>
      <c r="B8" s="19">
        <f>IFERROR(__xludf.DUMMYFUNCTION("GOOGLEFINANCE(A8,""price"")"),365.66)</f>
        <v>365.66</v>
      </c>
      <c r="C8" s="20" t="str">
        <f>IFERROR(__xludf.DUMMYFUNCTION("GOOGLEFINANCE($A8,C$2)"),"Ulta Beauty Inc")</f>
        <v>Ulta Beauty Inc</v>
      </c>
      <c r="D8" s="21">
        <f>IFERROR(__xludf.DUMMYFUNCTION("GOOGLEFINANCE($A8,D$2)"),-0.37)</f>
        <v>-0.37</v>
      </c>
      <c r="E8" s="22">
        <f>IFERROR(__xludf.DUMMYFUNCTION("GOOGLEFINANCE($A8,E$2)"),380676.0)</f>
        <v>380676</v>
      </c>
      <c r="F8" s="23" t="str">
        <f>IFERROR(__xludf.DUMMYFUNCTION("SPARKLINE(INDEX(GOOGLEFINANCE(A8,""price"",TODAY()-365,TODAY()),,2), 
{""charttype"",""line""; 
""color"", IF(G8&gt;0, ""green"", ""red"")})"),"")</f>
        <v/>
      </c>
      <c r="G8" s="23">
        <f>IFERROR(__xludf.DUMMYFUNCTION("GOOGLEFINANCE(A8, ""price"") - INDEX(GOOGLEFINANCE(A8, ""price"", TODAY()-365, TODAY()), 2, 2)"),-12.319999999999993)</f>
        <v>-12.32</v>
      </c>
      <c r="H8" s="24">
        <f>IFERROR(__xludf.DUMMYFUNCTION("GOOGLEFINANCE($A8,H$2)"),1.722917293E10)</f>
        <v>17229172930</v>
      </c>
      <c r="I8" s="39">
        <v>24.64</v>
      </c>
      <c r="J8" s="26">
        <f>IFERROR(__xludf.DUMMYFUNCTION("GOOGLEFINANCE(A8, ""pe"")
"),14.68)</f>
        <v>14.68</v>
      </c>
      <c r="K8" s="27">
        <f>IFERROR(__xludf.DUMMYFUNCTION(" I8*GOOGLEFINANCE(A8, ""pe"")"),361.7152)</f>
        <v>361.7152</v>
      </c>
      <c r="L8" s="41">
        <f>989517*1000</f>
        <v>989517000</v>
      </c>
      <c r="M8" s="23">
        <f>IFERROR(__xludf.DUMMYFUNCTION("INDEX(GOOGLEFINANCE(A8, ""price"", TODAY()-365*5, TODAY()), 2, 2)
"),241.74)</f>
        <v>241.74</v>
      </c>
      <c r="N8" s="26">
        <f t="shared" si="1"/>
        <v>0.0862900146</v>
      </c>
      <c r="O8" s="29">
        <v>0.08</v>
      </c>
      <c r="P8" s="30">
        <f t="shared" si="2"/>
        <v>0.02</v>
      </c>
      <c r="Q8" s="31">
        <f t="shared" si="3"/>
        <v>916219444.4</v>
      </c>
      <c r="R8" s="31">
        <f t="shared" si="4"/>
        <v>848351337.4</v>
      </c>
      <c r="S8" s="31">
        <f t="shared" si="5"/>
        <v>785510497.6</v>
      </c>
      <c r="T8" s="31">
        <f t="shared" si="6"/>
        <v>727324534.8</v>
      </c>
      <c r="U8" s="31">
        <f t="shared" si="7"/>
        <v>673448643.4</v>
      </c>
      <c r="V8" s="32">
        <f t="shared" si="8"/>
        <v>3950854458</v>
      </c>
      <c r="W8" s="32">
        <f t="shared" si="9"/>
        <v>16491950000</v>
      </c>
      <c r="X8" s="32">
        <f t="shared" si="10"/>
        <v>11224144056</v>
      </c>
      <c r="Y8" s="32">
        <f t="shared" si="11"/>
        <v>15174998514</v>
      </c>
      <c r="Z8" s="38">
        <f t="shared" si="12"/>
        <v>47118013.81</v>
      </c>
    </row>
    <row r="9" ht="26.25" customHeight="1">
      <c r="A9" s="18" t="s">
        <v>33</v>
      </c>
      <c r="B9" s="19">
        <f>IFERROR(__xludf.DUMMYFUNCTION("GOOGLEFINANCE(A9,""price"")"),114.52)</f>
        <v>114.52</v>
      </c>
      <c r="C9" s="20" t="str">
        <f>IFERROR(__xludf.DUMMYFUNCTION("GOOGLEFINANCE($A9,C$2)"),"Snowflake Inc")</f>
        <v>Snowflake Inc</v>
      </c>
      <c r="D9" s="21">
        <f>IFERROR(__xludf.DUMMYFUNCTION("GOOGLEFINANCE($A9,D$2)"),0.8)</f>
        <v>0.8</v>
      </c>
      <c r="E9" s="22">
        <f>IFERROR(__xludf.DUMMYFUNCTION("GOOGLEFINANCE($A9,E$2)"),1640577.0)</f>
        <v>1640577</v>
      </c>
      <c r="F9" s="23" t="str">
        <f>IFERROR(__xludf.DUMMYFUNCTION("SPARKLINE(INDEX(GOOGLEFINANCE(A9,""price"",TODAY()-365,TODAY()),,2), 
{""charttype"",""line""; 
""color"", IF(G9&gt;0, ""green"", ""red"")})"),"")</f>
        <v/>
      </c>
      <c r="G9" s="23">
        <f>IFERROR(__xludf.DUMMYFUNCTION("GOOGLEFINANCE(A9, ""price"") - INDEX(GOOGLEFINANCE(A9, ""price"", TODAY()-365, TODAY()), 2, 2)"),-27.88000000000001)</f>
        <v>-27.88</v>
      </c>
      <c r="H9" s="24">
        <f>IFERROR(__xludf.DUMMYFUNCTION("GOOGLEFINANCE($A9,H$2)"),3.8387091422E10)</f>
        <v>38387091422</v>
      </c>
      <c r="I9" s="39">
        <v>-2.96</v>
      </c>
      <c r="J9" s="36">
        <v>-38.9</v>
      </c>
      <c r="K9" s="27">
        <f> I9*J9</f>
        <v>115.144</v>
      </c>
      <c r="L9" s="41">
        <f>815862*1000</f>
        <v>815862000</v>
      </c>
      <c r="M9" s="23">
        <f>IFERROR(__xludf.DUMMYFUNCTION("INDEX(GOOGLEFINANCE(A9, ""price"", TODAY()-365*5, TODAY()), 2, 2)
"),253.93)</f>
        <v>253.93</v>
      </c>
      <c r="N9" s="26">
        <f t="shared" si="1"/>
        <v>-0.1472269532</v>
      </c>
      <c r="O9" s="29">
        <v>0.08</v>
      </c>
      <c r="P9" s="30">
        <f t="shared" si="2"/>
        <v>0.03</v>
      </c>
      <c r="Q9" s="31">
        <f t="shared" si="3"/>
        <v>755427777.8</v>
      </c>
      <c r="R9" s="31">
        <f t="shared" si="4"/>
        <v>699470164.6</v>
      </c>
      <c r="S9" s="31">
        <f t="shared" si="5"/>
        <v>647657559.8</v>
      </c>
      <c r="T9" s="31">
        <f t="shared" si="6"/>
        <v>599682925.8</v>
      </c>
      <c r="U9" s="31">
        <f t="shared" si="7"/>
        <v>555261968.3</v>
      </c>
      <c r="V9" s="32">
        <f t="shared" si="8"/>
        <v>3257500396</v>
      </c>
      <c r="W9" s="32">
        <f t="shared" si="9"/>
        <v>13597700000</v>
      </c>
      <c r="X9" s="32">
        <f t="shared" si="10"/>
        <v>9254366138</v>
      </c>
      <c r="Y9" s="32">
        <f t="shared" si="11"/>
        <v>12511866535</v>
      </c>
      <c r="Z9" s="38">
        <f t="shared" si="12"/>
        <v>335199890.2</v>
      </c>
    </row>
    <row r="10" ht="26.25" customHeight="1">
      <c r="A10" s="18" t="s">
        <v>34</v>
      </c>
      <c r="B10" s="19">
        <f>IFERROR(__xludf.DUMMYFUNCTION("GOOGLEFINANCE(A10,""price"")"),39.26)</f>
        <v>39.26</v>
      </c>
      <c r="C10" s="20" t="str">
        <f>IFERROR(__xludf.DUMMYFUNCTION("GOOGLEFINANCE($A10,C$2)"),"JD.Com Inc")</f>
        <v>JD.Com Inc</v>
      </c>
      <c r="D10" s="21">
        <f>IFERROR(__xludf.DUMMYFUNCTION("GOOGLEFINANCE($A10,D$2)"),-1.85)</f>
        <v>-1.85</v>
      </c>
      <c r="E10" s="22">
        <f>IFERROR(__xludf.DUMMYFUNCTION("GOOGLEFINANCE($A10,E$2)"),4742210.0)</f>
        <v>4742210</v>
      </c>
      <c r="F10" s="23" t="str">
        <f>IFERROR(__xludf.DUMMYFUNCTION("SPARKLINE(INDEX(GOOGLEFINANCE(A10,""price"",TODAY()-365,TODAY()),,2), 
{""charttype"",""line""; 
""color"", IF(G10&gt;0, ""green"", ""red"")})"),"")</f>
        <v/>
      </c>
      <c r="G10" s="23">
        <f>IFERROR(__xludf.DUMMYFUNCTION("GOOGLEFINANCE(A10, ""price"") - INDEX(GOOGLEFINANCE(A10, ""price"", TODAY()-365, TODAY()), 2, 2)"),14.139999999999997)</f>
        <v>14.14</v>
      </c>
      <c r="H10" s="24">
        <f>IFERROR(__xludf.DUMMYFUNCTION("GOOGLEFINANCE($A10,H$2)"),6.384566929E10)</f>
        <v>63845669290</v>
      </c>
      <c r="I10" s="39">
        <v>2.84</v>
      </c>
      <c r="J10" s="26">
        <f>IFERROR(__xludf.DUMMYFUNCTION("GOOGLEFINANCE(A10, ""pe"")
"),14.07)</f>
        <v>14.07</v>
      </c>
      <c r="K10" s="27">
        <f>IFERROR(__xludf.DUMMYFUNCTION(" I10*GOOGLEFINANCE(A10, ""pe"")"),39.9588)</f>
        <v>39.9588</v>
      </c>
      <c r="L10" s="28">
        <f>54025000*1000</f>
        <v>54025000000</v>
      </c>
      <c r="M10" s="23">
        <f>IFERROR(__xludf.DUMMYFUNCTION("INDEX(GOOGLEFINANCE(A10, ""price"", TODAY()-365*5, TODAY()), 2, 2)
"),31.73)</f>
        <v>31.73</v>
      </c>
      <c r="N10" s="26">
        <f t="shared" si="1"/>
        <v>0.04350862886</v>
      </c>
      <c r="O10" s="29">
        <v>0.06</v>
      </c>
      <c r="P10" s="30">
        <f t="shared" si="2"/>
        <v>0.03</v>
      </c>
      <c r="Q10" s="31">
        <f t="shared" si="3"/>
        <v>50966981132</v>
      </c>
      <c r="R10" s="31">
        <f t="shared" si="4"/>
        <v>48082057672</v>
      </c>
      <c r="S10" s="31">
        <f t="shared" si="5"/>
        <v>45360431766</v>
      </c>
      <c r="T10" s="31">
        <f t="shared" si="6"/>
        <v>42792860156</v>
      </c>
      <c r="U10" s="31">
        <f t="shared" si="7"/>
        <v>40370622789</v>
      </c>
      <c r="V10" s="32">
        <f t="shared" si="8"/>
        <v>227572953515</v>
      </c>
      <c r="W10" s="32">
        <f t="shared" si="9"/>
        <v>1350625000000</v>
      </c>
      <c r="X10" s="32">
        <f t="shared" si="10"/>
        <v>1009265569727</v>
      </c>
      <c r="Y10" s="32">
        <f t="shared" si="11"/>
        <v>1236838523242</v>
      </c>
      <c r="Z10" s="38">
        <f t="shared" si="12"/>
        <v>1626226930</v>
      </c>
    </row>
    <row r="11" ht="26.25" customHeight="1">
      <c r="A11" s="18" t="s">
        <v>35</v>
      </c>
      <c r="B11" s="19">
        <f>IFERROR(__xludf.DUMMYFUNCTION("GOOGLEFINANCE(A11,""price"")"),10.46)</f>
        <v>10.46</v>
      </c>
      <c r="C11" s="20" t="str">
        <f>IFERROR(__xludf.DUMMYFUNCTION("GOOGLEFINANCE($A11,C$2)"),"Vale SA")</f>
        <v>Vale SA</v>
      </c>
      <c r="D11" s="21">
        <f>IFERROR(__xludf.DUMMYFUNCTION("GOOGLEFINANCE($A11,D$2)"),0.48)</f>
        <v>0.48</v>
      </c>
      <c r="E11" s="22">
        <f>IFERROR(__xludf.DUMMYFUNCTION("GOOGLEFINANCE($A11,E$2)"),1.1311328E7)</f>
        <v>11311328</v>
      </c>
      <c r="F11" s="23" t="str">
        <f>IFERROR(__xludf.DUMMYFUNCTION("SPARKLINE(INDEX(GOOGLEFINANCE(A11,""price"",TODAY()-365,TODAY()),,2), 
{""charttype"",""line""; 
""color"", IF(G11&gt;0, ""green"", ""red"")})"),"")</f>
        <v/>
      </c>
      <c r="G11" s="23">
        <f>IFERROR(__xludf.DUMMYFUNCTION("GOOGLEFINANCE(A11, ""price"") - INDEX(GOOGLEFINANCE(A11, ""price"", TODAY()-365, TODAY()), 2, 2)"),-2.26)</f>
        <v>-2.26</v>
      </c>
      <c r="H11" s="24">
        <f>IFERROR(__xludf.DUMMYFUNCTION("GOOGLEFINANCE($A11,H$2)"),4.7585259773E10)</f>
        <v>47585259773</v>
      </c>
      <c r="I11" s="39">
        <v>2.26</v>
      </c>
      <c r="J11" s="26">
        <f>IFERROR(__xludf.DUMMYFUNCTION("GOOGLEFINANCE(A11, ""pe"")
"),5.24)</f>
        <v>5.24</v>
      </c>
      <c r="K11" s="27">
        <f>IFERROR(__xludf.DUMMYFUNCTION(" I11*GOOGLEFINANCE(A11, ""pe"")"),11.8424)</f>
        <v>11.8424</v>
      </c>
      <c r="L11" s="41">
        <f>6137000*1000</f>
        <v>6137000000</v>
      </c>
      <c r="M11" s="23">
        <f>IFERROR(__xludf.DUMMYFUNCTION("INDEX(GOOGLEFINANCE(A11, ""price"", TODAY()-365*5, TODAY()), 2, 2)
"),12.23)</f>
        <v>12.23</v>
      </c>
      <c r="N11" s="26">
        <f t="shared" si="1"/>
        <v>-0.03078294985</v>
      </c>
      <c r="O11" s="29">
        <v>0.08</v>
      </c>
      <c r="P11" s="30">
        <f t="shared" si="2"/>
        <v>0.03</v>
      </c>
      <c r="Q11" s="31">
        <f t="shared" si="3"/>
        <v>5682407407</v>
      </c>
      <c r="R11" s="31">
        <f t="shared" si="4"/>
        <v>5261488340</v>
      </c>
      <c r="S11" s="31">
        <f t="shared" si="5"/>
        <v>4871748463</v>
      </c>
      <c r="T11" s="31">
        <f t="shared" si="6"/>
        <v>4510878207</v>
      </c>
      <c r="U11" s="31">
        <f t="shared" si="7"/>
        <v>4176739080</v>
      </c>
      <c r="V11" s="32">
        <f t="shared" si="8"/>
        <v>24503261498</v>
      </c>
      <c r="W11" s="32">
        <f t="shared" si="9"/>
        <v>102283333333</v>
      </c>
      <c r="X11" s="32">
        <f t="shared" si="10"/>
        <v>69612318003</v>
      </c>
      <c r="Y11" s="32">
        <f t="shared" si="11"/>
        <v>94115579501</v>
      </c>
      <c r="Z11" s="38">
        <f t="shared" si="12"/>
        <v>4549260017</v>
      </c>
    </row>
    <row r="12" ht="26.25" customHeight="1">
      <c r="A12" s="18" t="s">
        <v>36</v>
      </c>
      <c r="B12" s="19">
        <f>IFERROR(__xludf.DUMMYFUNCTION("GOOGLEFINANCE(A12,""price"")"),22.14)</f>
        <v>22.14</v>
      </c>
      <c r="C12" s="20" t="str">
        <f>IFERROR(__xludf.DUMMYFUNCTION("GOOGLEFINANCE($A12,C$2)"),"Intel Corp")</f>
        <v>Intel Corp</v>
      </c>
      <c r="D12" s="21">
        <f>IFERROR(__xludf.DUMMYFUNCTION("GOOGLEFINANCE($A12,D$2)"),0.72)</f>
        <v>0.72</v>
      </c>
      <c r="E12" s="22">
        <f>IFERROR(__xludf.DUMMYFUNCTION("GOOGLEFINANCE($A12,E$2)"),2.0529967E7)</f>
        <v>20529967</v>
      </c>
      <c r="F12" s="23" t="str">
        <f>IFERROR(__xludf.DUMMYFUNCTION("SPARKLINE(INDEX(GOOGLEFINANCE(A12,""price"",TODAY()-365,TODAY()),,2), 
{""charttype"",""line""; 
""color"", IF(G12&gt;0, ""green"", ""red"")})"),"")</f>
        <v/>
      </c>
      <c r="G12" s="23">
        <f>IFERROR(__xludf.DUMMYFUNCTION("GOOGLEFINANCE(A12, ""price"") - INDEX(GOOGLEFINANCE(A12, ""price"", TODAY()-365, TODAY()), 2, 2)"),-10.689999999999998)</f>
        <v>-10.69</v>
      </c>
      <c r="H12" s="24">
        <f>IFERROR(__xludf.DUMMYFUNCTION("GOOGLEFINANCE($A12,H$2)"),9.4464980411E10)</f>
        <v>94464980411</v>
      </c>
      <c r="I12" s="39">
        <v>0.24</v>
      </c>
      <c r="J12" s="26">
        <f>IFERROR(__xludf.DUMMYFUNCTION("GOOGLEFINANCE(A12, ""pe"")
"),99.44)</f>
        <v>99.44</v>
      </c>
      <c r="K12" s="27">
        <f>IFERROR(__xludf.DUMMYFUNCTION(" I12*GOOGLEFINANCE(A12, ""pe"")"),23.865599999999997)</f>
        <v>23.8656</v>
      </c>
      <c r="L12" s="41">
        <f>-12584000*1000</f>
        <v>-12584000000</v>
      </c>
      <c r="M12" s="23">
        <f>IFERROR(__xludf.DUMMYFUNCTION("INDEX(GOOGLEFINANCE(A12, ""price"", TODAY()-365*5, TODAY()), 2, 2)
"),56.76)</f>
        <v>56.76</v>
      </c>
      <c r="N12" s="26">
        <f t="shared" si="1"/>
        <v>-0.1716248811</v>
      </c>
      <c r="O12" s="29">
        <v>0.09</v>
      </c>
      <c r="P12" s="30">
        <f t="shared" si="2"/>
        <v>0.03</v>
      </c>
      <c r="Q12" s="31">
        <f t="shared" si="3"/>
        <v>-11544954128</v>
      </c>
      <c r="R12" s="31">
        <f t="shared" si="4"/>
        <v>-10591701035</v>
      </c>
      <c r="S12" s="31">
        <f t="shared" si="5"/>
        <v>-9717156913</v>
      </c>
      <c r="T12" s="31">
        <f t="shared" si="6"/>
        <v>-8914822856</v>
      </c>
      <c r="U12" s="31">
        <f t="shared" si="7"/>
        <v>-8178736565</v>
      </c>
      <c r="V12" s="32">
        <f t="shared" si="8"/>
        <v>-48947371498</v>
      </c>
      <c r="W12" s="32">
        <f t="shared" si="9"/>
        <v>-179771428571</v>
      </c>
      <c r="X12" s="32">
        <f t="shared" si="10"/>
        <v>-116839093788</v>
      </c>
      <c r="Y12" s="32">
        <f t="shared" si="11"/>
        <v>-165786465286</v>
      </c>
      <c r="Z12" s="38">
        <f t="shared" si="12"/>
        <v>4266710949</v>
      </c>
    </row>
    <row r="13" ht="26.25" customHeight="1">
      <c r="A13" s="18" t="s">
        <v>37</v>
      </c>
      <c r="B13" s="19">
        <f>IFERROR(__xludf.DUMMYFUNCTION("GOOGLEFINANCE(A13,""price"")"),92.8)</f>
        <v>92.8</v>
      </c>
      <c r="C13" s="20" t="str">
        <f>IFERROR(__xludf.DUMMYFUNCTION("GOOGLEFINANCE($A13,C$2)"),"iShares 20+ Year Treasury Bond ETF")</f>
        <v>iShares 20+ Year Treasury Bond ETF</v>
      </c>
      <c r="D13" s="21">
        <f>IFERROR(__xludf.DUMMYFUNCTION("GOOGLEFINANCE($A13,D$2)"),0.79)</f>
        <v>0.79</v>
      </c>
      <c r="E13" s="22">
        <f>IFERROR(__xludf.DUMMYFUNCTION("GOOGLEFINANCE($A13,E$2)"),1.8430616E7)</f>
        <v>18430616</v>
      </c>
      <c r="F13" s="23" t="str">
        <f>IFERROR(__xludf.DUMMYFUNCTION("SPARKLINE(INDEX(GOOGLEFINANCE(A13,""price"",TODAY()-365,TODAY()),,2), 
{""charttype"",""line""; 
""color"", IF(G13&gt;0, ""green"", ""red"")})"),"")</f>
        <v/>
      </c>
      <c r="G13" s="23">
        <f>IFERROR(__xludf.DUMMYFUNCTION("GOOGLEFINANCE(A13, ""price"") - INDEX(GOOGLEFINANCE(A13, ""price"", TODAY()-365, TODAY()), 2, 2)"),9.349999999999994)</f>
        <v>9.35</v>
      </c>
      <c r="H13" s="24">
        <f>IFERROR(__xludf.DUMMYFUNCTION("GOOGLEFINANCE($A13,H$2)"),1.1580815771E10)</f>
        <v>11580815771</v>
      </c>
      <c r="I13" s="33" t="s">
        <v>38</v>
      </c>
      <c r="J13" s="25" t="s">
        <v>38</v>
      </c>
      <c r="K13" s="42" t="s">
        <v>38</v>
      </c>
      <c r="L13" s="43" t="s">
        <v>38</v>
      </c>
      <c r="M13" s="23">
        <f>IFERROR(__xludf.DUMMYFUNCTION("INDEX(GOOGLEFINANCE(A13, ""price"", TODAY()-365*5, TODAY()), 2, 2)
"),137.26)</f>
        <v>137.26</v>
      </c>
      <c r="N13" s="26">
        <f t="shared" si="1"/>
        <v>-0.07530013051</v>
      </c>
      <c r="O13" s="44"/>
      <c r="P13" s="30">
        <f t="shared" si="2"/>
        <v>0.03</v>
      </c>
      <c r="Q13" s="31" t="str">
        <f t="shared" si="3"/>
        <v>#VALUE!</v>
      </c>
      <c r="R13" s="31" t="str">
        <f t="shared" si="4"/>
        <v>#VALUE!</v>
      </c>
      <c r="S13" s="31" t="str">
        <f t="shared" si="5"/>
        <v>#VALUE!</v>
      </c>
      <c r="T13" s="31" t="str">
        <f t="shared" si="6"/>
        <v>#VALUE!</v>
      </c>
      <c r="U13" s="31" t="str">
        <f t="shared" si="7"/>
        <v>#VALUE!</v>
      </c>
      <c r="V13" s="45" t="str">
        <f t="shared" si="8"/>
        <v>#VALUE!</v>
      </c>
      <c r="W13" s="32" t="str">
        <f t="shared" si="9"/>
        <v>#VALUE!</v>
      </c>
      <c r="X13" s="45" t="str">
        <f t="shared" si="10"/>
        <v>#VALUE!</v>
      </c>
      <c r="Y13" s="45" t="str">
        <f t="shared" si="11"/>
        <v>#VALUE!</v>
      </c>
      <c r="Z13" s="38">
        <f t="shared" si="12"/>
        <v>124793273.4</v>
      </c>
    </row>
    <row r="14" ht="26.25" customHeight="1">
      <c r="A14" s="18" t="s">
        <v>39</v>
      </c>
      <c r="B14" s="19">
        <f>IFERROR(__xludf.DUMMYFUNCTION("GOOGLEFINANCE(A14,""price"")"),9.49)</f>
        <v>9.49</v>
      </c>
      <c r="C14" s="20" t="str">
        <f>IFERROR(__xludf.DUMMYFUNCTION("GOOGLEFINANCE($A14,C$2)"),"Walgreens Boots Alliance Inc")</f>
        <v>Walgreens Boots Alliance Inc</v>
      </c>
      <c r="D14" s="21">
        <f>IFERROR(__xludf.DUMMYFUNCTION("GOOGLEFINANCE($A14,D$2)"),1.51)</f>
        <v>1.51</v>
      </c>
      <c r="E14" s="22">
        <f>IFERROR(__xludf.DUMMYFUNCTION("GOOGLEFINANCE($A14,E$2)"),8560363.0)</f>
        <v>8560363</v>
      </c>
      <c r="F14" s="23" t="str">
        <f>IFERROR(__xludf.DUMMYFUNCTION("SPARKLINE(INDEX(GOOGLEFINANCE(A14,""price"",TODAY()-365,TODAY()),,2), 
{""charttype"",""line""; 
""color"", IF(G14&gt;0, ""green"", ""red"")})"),"")</f>
        <v/>
      </c>
      <c r="G14" s="23">
        <f>IFERROR(__xludf.DUMMYFUNCTION("GOOGLEFINANCE(A14, ""price"") - INDEX(GOOGLEFINANCE(A14, ""price"", TODAY()-365, TODAY()), 2, 2)"),-12.180000000000001)</f>
        <v>-12.18</v>
      </c>
      <c r="H14" s="24">
        <f>IFERROR(__xludf.DUMMYFUNCTION("GOOGLEFINANCE($A14,H$2)"),8.20633996E9)</f>
        <v>8206339960</v>
      </c>
      <c r="I14" s="39">
        <v>-9.32</v>
      </c>
      <c r="J14" s="36">
        <v>-1.04</v>
      </c>
      <c r="K14" s="27">
        <f> I14*J14</f>
        <v>9.6928</v>
      </c>
      <c r="L14" s="41">
        <f>-363000*1000</f>
        <v>-363000000</v>
      </c>
      <c r="M14" s="23">
        <f>IFERROR(__xludf.DUMMYFUNCTION("INDEX(GOOGLEFINANCE(A14, ""price"", TODAY()-365*5, TODAY()), 2, 2)
"),55.8)</f>
        <v>55.8</v>
      </c>
      <c r="N14" s="26">
        <f t="shared" si="1"/>
        <v>-0.2983405112</v>
      </c>
      <c r="O14" s="29">
        <v>0.03</v>
      </c>
      <c r="P14" s="30">
        <f t="shared" si="2"/>
        <v>0.03</v>
      </c>
      <c r="Q14" s="31">
        <f t="shared" si="3"/>
        <v>-352427184.5</v>
      </c>
      <c r="R14" s="31">
        <f t="shared" si="4"/>
        <v>-342162315</v>
      </c>
      <c r="S14" s="31">
        <f t="shared" si="5"/>
        <v>-332196422.3</v>
      </c>
      <c r="T14" s="31">
        <f t="shared" si="6"/>
        <v>-322520798.4</v>
      </c>
      <c r="U14" s="31">
        <f t="shared" si="7"/>
        <v>-313126988.7</v>
      </c>
      <c r="V14" s="32">
        <f t="shared" si="8"/>
        <v>-1662433709</v>
      </c>
      <c r="W14" s="32">
        <f t="shared" si="9"/>
        <v>-36300000000</v>
      </c>
      <c r="X14" s="32">
        <f t="shared" si="10"/>
        <v>-31312698873</v>
      </c>
      <c r="Y14" s="32">
        <f t="shared" si="11"/>
        <v>-32975132582</v>
      </c>
      <c r="Z14" s="38">
        <f t="shared" si="12"/>
        <v>864735506.8</v>
      </c>
    </row>
    <row r="15" ht="26.25" customHeight="1">
      <c r="A15" s="18" t="s">
        <v>40</v>
      </c>
      <c r="B15" s="19">
        <f>IFERROR(__xludf.DUMMYFUNCTION("GOOGLEFINANCE(A15,""price"")"),81.34)</f>
        <v>81.34</v>
      </c>
      <c r="C15" s="20" t="str">
        <f>IFERROR(__xludf.DUMMYFUNCTION("GOOGLEFINANCE($A15,C$2)"),"Dollar General Corp")</f>
        <v>Dollar General Corp</v>
      </c>
      <c r="D15" s="21">
        <f>IFERROR(__xludf.DUMMYFUNCTION("GOOGLEFINANCE($A15,D$2)"),0.36)</f>
        <v>0.36</v>
      </c>
      <c r="E15" s="22">
        <f>IFERROR(__xludf.DUMMYFUNCTION("GOOGLEFINANCE($A15,E$2)"),903678.0)</f>
        <v>903678</v>
      </c>
      <c r="F15" s="23" t="str">
        <f>IFERROR(__xludf.DUMMYFUNCTION("SPARKLINE(INDEX(GOOGLEFINANCE(A15,""price"",TODAY()-365,TODAY()),,2), 
{""charttype"",""line""; 
""color"", IF(G15&gt;0, ""green"", ""red"")})"),"")</f>
        <v/>
      </c>
      <c r="G15" s="23">
        <f>IFERROR(__xludf.DUMMYFUNCTION("GOOGLEFINANCE(A15, ""price"") - INDEX(GOOGLEFINANCE(A15, ""price"", TODAY()-365, TODAY()), 2, 2)"),-38.129999999999995)</f>
        <v>-38.13</v>
      </c>
      <c r="H15" s="24">
        <f>IFERROR(__xludf.DUMMYFUNCTION("GOOGLEFINANCE($A15,H$2)"),1.7887901562E10)</f>
        <v>17887901562</v>
      </c>
      <c r="I15" s="39">
        <v>6.43</v>
      </c>
      <c r="J15" s="26">
        <f>IFERROR(__xludf.DUMMYFUNCTION("GOOGLEFINANCE(A15, ""pe"")
"),12.64)</f>
        <v>12.64</v>
      </c>
      <c r="K15" s="27">
        <f>IFERROR(__xludf.DUMMYFUNCTION(" I15*GOOGLEFINANCE(A15, ""pe"")"),81.2752)</f>
        <v>81.2752</v>
      </c>
      <c r="L15" s="41">
        <f>1689836*1000</f>
        <v>1689836000</v>
      </c>
      <c r="M15" s="23">
        <f>IFERROR(__xludf.DUMMYFUNCTION("INDEX(GOOGLEFINANCE(A15, ""price"", TODAY()-365*5, TODAY()), 2, 2)
"),162.64)</f>
        <v>162.64</v>
      </c>
      <c r="N15" s="26">
        <f t="shared" si="1"/>
        <v>-0.1294066199</v>
      </c>
      <c r="O15" s="29">
        <v>0.04</v>
      </c>
      <c r="P15" s="30">
        <f t="shared" si="2"/>
        <v>0.03</v>
      </c>
      <c r="Q15" s="31">
        <f t="shared" si="3"/>
        <v>1624842308</v>
      </c>
      <c r="R15" s="31">
        <f t="shared" si="4"/>
        <v>1562348373</v>
      </c>
      <c r="S15" s="31">
        <f t="shared" si="5"/>
        <v>1502258051</v>
      </c>
      <c r="T15" s="31">
        <f t="shared" si="6"/>
        <v>1444478895</v>
      </c>
      <c r="U15" s="31">
        <f t="shared" si="7"/>
        <v>1388922014</v>
      </c>
      <c r="V15" s="32">
        <f t="shared" si="8"/>
        <v>7522849641</v>
      </c>
      <c r="W15" s="32">
        <f t="shared" si="9"/>
        <v>84491800000</v>
      </c>
      <c r="X15" s="32">
        <f t="shared" si="10"/>
        <v>69446100719</v>
      </c>
      <c r="Y15" s="32">
        <f t="shared" si="11"/>
        <v>76968950359</v>
      </c>
      <c r="Z15" s="38">
        <f t="shared" si="12"/>
        <v>219915190.1</v>
      </c>
    </row>
    <row r="16" ht="26.25" customHeight="1">
      <c r="A16" s="18" t="s">
        <v>41</v>
      </c>
      <c r="B16" s="19">
        <f>IFERROR(__xludf.DUMMYFUNCTION("GOOGLEFINANCE(A16,""price"")"),51.31)</f>
        <v>51.31</v>
      </c>
      <c r="C16" s="20" t="str">
        <f>IFERROR(__xludf.DUMMYFUNCTION("GOOGLEFINANCE($A16,C$2)"),"Occidental Petroleum Corp")</f>
        <v>Occidental Petroleum Corp</v>
      </c>
      <c r="D16" s="21">
        <f>IFERROR(__xludf.DUMMYFUNCTION("GOOGLEFINANCE($A16,D$2)"),-0.02)</f>
        <v>-0.02</v>
      </c>
      <c r="E16" s="22">
        <f>IFERROR(__xludf.DUMMYFUNCTION("GOOGLEFINANCE($A16,E$2)"),3780609.0)</f>
        <v>3780609</v>
      </c>
      <c r="F16" s="23" t="str">
        <f>IFERROR(__xludf.DUMMYFUNCTION("SPARKLINE(INDEX(GOOGLEFINANCE(A16,""price"",TODAY()-365,TODAY()),,2), 
{""charttype"",""line""; 
""color"", IF(G16&gt;0, ""green"", ""red"")})"),"")</f>
        <v/>
      </c>
      <c r="G16" s="23">
        <f>IFERROR(__xludf.DUMMYFUNCTION("GOOGLEFINANCE(A16, ""price"") - INDEX(GOOGLEFINANCE(A16, ""price"", TODAY()-365, TODAY()), 2, 2)"),-11.96)</f>
        <v>-11.96</v>
      </c>
      <c r="H16" s="24">
        <f>IFERROR(__xludf.DUMMYFUNCTION("GOOGLEFINANCE($A16,H$2)"),4.7983897237E10)</f>
        <v>47983897237</v>
      </c>
      <c r="I16" s="39">
        <v>3.88</v>
      </c>
      <c r="J16" s="26">
        <f>IFERROR(__xludf.DUMMYFUNCTION("GOOGLEFINANCE(A16, ""pe"")
"),12.61)</f>
        <v>12.61</v>
      </c>
      <c r="K16" s="27">
        <f>IFERROR(__xludf.DUMMYFUNCTION(" I16*GOOGLEFINANCE(A16, ""pe"")"),48.92679999999999)</f>
        <v>48.9268</v>
      </c>
      <c r="L16" s="41">
        <f>4053000*1000</f>
        <v>4053000000</v>
      </c>
      <c r="M16" s="23">
        <f>IFERROR(__xludf.DUMMYFUNCTION("INDEX(GOOGLEFINANCE(A16, ""price"", TODAY()-365*5, TODAY()), 2, 2)
"),42.28)</f>
        <v>42.28</v>
      </c>
      <c r="N16" s="26">
        <f t="shared" si="1"/>
        <v>0.03947346448</v>
      </c>
      <c r="O16" s="29">
        <v>0.06</v>
      </c>
      <c r="P16" s="30">
        <f t="shared" si="2"/>
        <v>0.03</v>
      </c>
      <c r="Q16" s="31">
        <f t="shared" si="3"/>
        <v>3823584906</v>
      </c>
      <c r="R16" s="31">
        <f t="shared" si="4"/>
        <v>3607155571</v>
      </c>
      <c r="S16" s="31">
        <f t="shared" si="5"/>
        <v>3402976954</v>
      </c>
      <c r="T16" s="31">
        <f t="shared" si="6"/>
        <v>3210355617</v>
      </c>
      <c r="U16" s="31">
        <f t="shared" si="7"/>
        <v>3028637375</v>
      </c>
      <c r="V16" s="32">
        <f t="shared" si="8"/>
        <v>17072710423</v>
      </c>
      <c r="W16" s="32">
        <f t="shared" si="9"/>
        <v>101325000000</v>
      </c>
      <c r="X16" s="32">
        <f t="shared" si="10"/>
        <v>75715934366</v>
      </c>
      <c r="Y16" s="32">
        <f t="shared" si="11"/>
        <v>92788644789</v>
      </c>
      <c r="Z16" s="38">
        <f t="shared" si="12"/>
        <v>935176325</v>
      </c>
    </row>
    <row r="17" ht="26.25" customHeight="1">
      <c r="A17" s="18" t="s">
        <v>42</v>
      </c>
      <c r="B17" s="19">
        <f>IFERROR(__xludf.DUMMYFUNCTION("GOOGLEFINANCE(A17,""price"")"),79.47)</f>
        <v>79.47</v>
      </c>
      <c r="C17" s="20" t="str">
        <f>IFERROR(__xludf.DUMMYFUNCTION("GOOGLEFINANCE($A17,C$2)"),"Nike Inc")</f>
        <v>Nike Inc</v>
      </c>
      <c r="D17" s="21">
        <f>IFERROR(__xludf.DUMMYFUNCTION("GOOGLEFINANCE($A17,D$2)"),-0.72)</f>
        <v>-0.72</v>
      </c>
      <c r="E17" s="22">
        <f>IFERROR(__xludf.DUMMYFUNCTION("GOOGLEFINANCE($A17,E$2)"),3616346.0)</f>
        <v>3616346</v>
      </c>
      <c r="F17" s="23" t="str">
        <f>IFERROR(__xludf.DUMMYFUNCTION("SPARKLINE(INDEX(GOOGLEFINANCE(A17,""price"",TODAY()-365,TODAY()),,2), 
{""charttype"",""line""; 
""color"", IF(G17&gt;0, ""green"", ""red"")})"),"")</f>
        <v/>
      </c>
      <c r="G17" s="23">
        <f>IFERROR(__xludf.DUMMYFUNCTION("GOOGLEFINANCE(A17, ""price"") - INDEX(GOOGLEFINANCE(A17, ""price"", TODAY()-365, TODAY()), 2, 2)"),-24.070000000000007)</f>
        <v>-24.07</v>
      </c>
      <c r="H17" s="24">
        <f>IFERROR(__xludf.DUMMYFUNCTION("GOOGLEFINANCE($A17,H$2)"),1.18290699467E11)</f>
        <v>118290699467</v>
      </c>
      <c r="I17" s="39">
        <v>3.48</v>
      </c>
      <c r="J17" s="26">
        <f>IFERROR(__xludf.DUMMYFUNCTION("GOOGLEFINANCE(A17, ""pe"")
"),22.79)</f>
        <v>22.79</v>
      </c>
      <c r="K17" s="27">
        <f>IFERROR(__xludf.DUMMYFUNCTION(" I17*GOOGLEFINANCE(A17, ""pe"")"),79.30919999999999)</f>
        <v>79.3092</v>
      </c>
      <c r="L17" s="41">
        <f>7210000*1000</f>
        <v>7210000000</v>
      </c>
      <c r="M17" s="23">
        <f>IFERROR(__xludf.DUMMYFUNCTION("INDEX(GOOGLEFINANCE(A17, ""price"", TODAY()-365*5, TODAY()), 2, 2)
"),90.85)</f>
        <v>90.85</v>
      </c>
      <c r="N17" s="26">
        <f t="shared" si="1"/>
        <v>-0.0264110048</v>
      </c>
      <c r="O17" s="29">
        <v>0.1</v>
      </c>
      <c r="P17" s="30">
        <f t="shared" si="2"/>
        <v>0.03</v>
      </c>
      <c r="Q17" s="31">
        <f t="shared" si="3"/>
        <v>6554545455</v>
      </c>
      <c r="R17" s="31">
        <f t="shared" si="4"/>
        <v>5958677686</v>
      </c>
      <c r="S17" s="31">
        <f t="shared" si="5"/>
        <v>5416979715</v>
      </c>
      <c r="T17" s="31">
        <f t="shared" si="6"/>
        <v>4924527013</v>
      </c>
      <c r="U17" s="31">
        <f t="shared" si="7"/>
        <v>4476842739</v>
      </c>
      <c r="V17" s="32">
        <f t="shared" si="8"/>
        <v>27331572607</v>
      </c>
      <c r="W17" s="32">
        <f t="shared" si="9"/>
        <v>90125000000</v>
      </c>
      <c r="X17" s="32">
        <f t="shared" si="10"/>
        <v>55960534241</v>
      </c>
      <c r="Y17" s="32">
        <f t="shared" si="11"/>
        <v>83292106848</v>
      </c>
      <c r="Z17" s="38">
        <f t="shared" si="12"/>
        <v>1488495023</v>
      </c>
    </row>
    <row r="18" ht="26.25" customHeight="1">
      <c r="A18" s="18" t="s">
        <v>43</v>
      </c>
      <c r="B18" s="19">
        <f>IFERROR(__xludf.DUMMYFUNCTION("GOOGLEFINANCE(A18,""price"")"),96.08)</f>
        <v>96.08</v>
      </c>
      <c r="C18" s="20" t="str">
        <f>IFERROR(__xludf.DUMMYFUNCTION("GOOGLEFINANCE($A18,C$2)"),"Alibaba Group Holding Ltd - ADR")</f>
        <v>Alibaba Group Holding Ltd - ADR</v>
      </c>
      <c r="D18" s="21">
        <f>IFERROR(__xludf.DUMMYFUNCTION("GOOGLEFINANCE($A18,D$2)"),-1.92)</f>
        <v>-1.92</v>
      </c>
      <c r="E18" s="22">
        <f>IFERROR(__xludf.DUMMYFUNCTION("GOOGLEFINANCE($A18,E$2)"),9403837.0)</f>
        <v>9403837</v>
      </c>
      <c r="F18" s="23" t="str">
        <f>IFERROR(__xludf.DUMMYFUNCTION("SPARKLINE(INDEX(GOOGLEFINANCE(A18,""price"",TODAY()-365,TODAY()),,2), 
{""charttype"",""line""; 
""color"", IF(G18&gt;0, ""green"", ""red"")})"),"")</f>
        <v/>
      </c>
      <c r="G18" s="23">
        <f>IFERROR(__xludf.DUMMYFUNCTION("GOOGLEFINANCE(A18, ""price"") - INDEX(GOOGLEFINANCE(A18, ""price"", TODAY()-365, TODAY()), 2, 2)"),15.049999999999997)</f>
        <v>15.05</v>
      </c>
      <c r="H18" s="24">
        <f>IFERROR(__xludf.DUMMYFUNCTION("GOOGLEFINANCE($A18,H$2)"),2.30109586705E11)</f>
        <v>230109586705</v>
      </c>
      <c r="I18" s="39">
        <v>3.92</v>
      </c>
      <c r="J18" s="26">
        <f>IFERROR(__xludf.DUMMYFUNCTION("GOOGLEFINANCE(A18, ""pe"")
"),24.72)</f>
        <v>24.72</v>
      </c>
      <c r="K18" s="27">
        <f>IFERROR(__xludf.DUMMYFUNCTION(" I18*GOOGLEFINANCE(A18, ""pe"")"),96.9024)</f>
        <v>96.9024</v>
      </c>
      <c r="L18" s="41">
        <f>137994000*1000</f>
        <v>137994000000</v>
      </c>
      <c r="M18" s="23">
        <f>IFERROR(__xludf.DUMMYFUNCTION("INDEX(GOOGLEFINANCE(A18, ""price"", TODAY()-365*5, TODAY()), 2, 2)
"),178.68)</f>
        <v>178.68</v>
      </c>
      <c r="N18" s="26">
        <f t="shared" si="1"/>
        <v>-0.1166935329</v>
      </c>
      <c r="O18" s="29">
        <v>0.07</v>
      </c>
      <c r="P18" s="30">
        <f t="shared" si="2"/>
        <v>0.03</v>
      </c>
      <c r="Q18" s="31">
        <f t="shared" si="3"/>
        <v>128966355140</v>
      </c>
      <c r="R18" s="31">
        <f t="shared" si="4"/>
        <v>120529303869</v>
      </c>
      <c r="S18" s="31">
        <f t="shared" si="5"/>
        <v>112644209224</v>
      </c>
      <c r="T18" s="31">
        <f t="shared" si="6"/>
        <v>105274961891</v>
      </c>
      <c r="U18" s="31">
        <f t="shared" si="7"/>
        <v>98387814852</v>
      </c>
      <c r="V18" s="32">
        <f t="shared" si="8"/>
        <v>565802644976</v>
      </c>
      <c r="W18" s="32">
        <f t="shared" si="9"/>
        <v>2759880000000</v>
      </c>
      <c r="X18" s="32">
        <f t="shared" si="10"/>
        <v>1967756297033</v>
      </c>
      <c r="Y18" s="32">
        <f t="shared" si="11"/>
        <v>2533558942010</v>
      </c>
      <c r="Z18" s="38">
        <f t="shared" si="12"/>
        <v>2394979046</v>
      </c>
    </row>
    <row r="19" ht="26.25" customHeight="1">
      <c r="A19" s="18" t="s">
        <v>44</v>
      </c>
      <c r="B19" s="19">
        <f>IFERROR(__xludf.DUMMYFUNCTION("GOOGLEFINANCE(A19,""price"")"),78.63)</f>
        <v>78.63</v>
      </c>
      <c r="C19" s="20" t="str">
        <f>IFERROR(__xludf.DUMMYFUNCTION("GOOGLEFINANCE($A19,C$2)"),"NetEase Inc")</f>
        <v>NetEase Inc</v>
      </c>
      <c r="D19" s="21">
        <f>IFERROR(__xludf.DUMMYFUNCTION("GOOGLEFINANCE($A19,D$2)"),-1.77)</f>
        <v>-1.77</v>
      </c>
      <c r="E19" s="22">
        <f>IFERROR(__xludf.DUMMYFUNCTION("GOOGLEFINANCE($A19,E$2)"),543880.0)</f>
        <v>543880</v>
      </c>
      <c r="F19" s="23" t="str">
        <f>IFERROR(__xludf.DUMMYFUNCTION("SPARKLINE(INDEX(GOOGLEFINANCE(A19,""price"",TODAY()-365,TODAY()),,2), 
{""charttype"",""line""; 
""color"", IF(G19&gt;0, ""green"", ""red"")})"),"")</f>
        <v/>
      </c>
      <c r="G19" s="23">
        <f>IFERROR(__xludf.DUMMYFUNCTION("GOOGLEFINANCE(A19, ""price"") - INDEX(GOOGLEFINANCE(A19, ""price"", TODAY()-365, TODAY()), 2, 2)"),-26.28)</f>
        <v>-26.28</v>
      </c>
      <c r="H19" s="24">
        <f>IFERROR(__xludf.DUMMYFUNCTION("GOOGLEFINANCE($A19,H$2)"),5.0666862987E10)</f>
        <v>50666862987</v>
      </c>
      <c r="I19" s="39">
        <v>6.22</v>
      </c>
      <c r="J19" s="26">
        <f>IFERROR(__xludf.DUMMYFUNCTION("GOOGLEFINANCE(A19, ""pe"")
"),12.63)</f>
        <v>12.63</v>
      </c>
      <c r="K19" s="27">
        <f>IFERROR(__xludf.DUMMYFUNCTION(" I19*GOOGLEFINANCE(A19, ""pe"")"),78.5586)</f>
        <v>78.5586</v>
      </c>
      <c r="L19" s="41">
        <f>34576557*1000</f>
        <v>34576557000</v>
      </c>
      <c r="M19" s="23">
        <f>IFERROR(__xludf.DUMMYFUNCTION("INDEX(GOOGLEFINANCE(A19, ""price"", TODAY()-365*5, TODAY()), 2, 2)
"),56.73)</f>
        <v>56.73</v>
      </c>
      <c r="N19" s="26">
        <f t="shared" si="1"/>
        <v>0.06746857413</v>
      </c>
      <c r="O19" s="29">
        <v>0.08</v>
      </c>
      <c r="P19" s="30">
        <f t="shared" si="2"/>
        <v>0.03</v>
      </c>
      <c r="Q19" s="31">
        <f t="shared" si="3"/>
        <v>32015330556</v>
      </c>
      <c r="R19" s="31">
        <f t="shared" si="4"/>
        <v>29643824588</v>
      </c>
      <c r="S19" s="31">
        <f t="shared" si="5"/>
        <v>27447985730</v>
      </c>
      <c r="T19" s="31">
        <f t="shared" si="6"/>
        <v>25414801602</v>
      </c>
      <c r="U19" s="31">
        <f t="shared" si="7"/>
        <v>23532223705</v>
      </c>
      <c r="V19" s="32">
        <f t="shared" si="8"/>
        <v>138054166182</v>
      </c>
      <c r="W19" s="32">
        <f t="shared" si="9"/>
        <v>576275950000</v>
      </c>
      <c r="X19" s="32">
        <f t="shared" si="10"/>
        <v>392203728425</v>
      </c>
      <c r="Y19" s="32">
        <f t="shared" si="11"/>
        <v>530257894606</v>
      </c>
      <c r="Z19" s="38">
        <f t="shared" si="12"/>
        <v>644370634.5</v>
      </c>
    </row>
    <row r="20" ht="26.25" customHeight="1">
      <c r="A20" s="18" t="s">
        <v>45</v>
      </c>
      <c r="B20" s="19">
        <f>IFERROR(__xludf.DUMMYFUNCTION("GOOGLEFINANCE(A20,""price"")"),164.73)</f>
        <v>164.73</v>
      </c>
      <c r="C20" s="20" t="str">
        <f>IFERROR(__xludf.DUMMYFUNCTION("GOOGLEFINANCE($A20,C$2)"),"Alphabet Inc Class C")</f>
        <v>Alphabet Inc Class C</v>
      </c>
      <c r="D20" s="21">
        <f>IFERROR(__xludf.DUMMYFUNCTION("GOOGLEFINANCE($A20,D$2)"),0.15)</f>
        <v>0.15</v>
      </c>
      <c r="E20" s="22">
        <f>IFERROR(__xludf.DUMMYFUNCTION("GOOGLEFINANCE($A20,E$2)"),7448076.0)</f>
        <v>7448076</v>
      </c>
      <c r="F20" s="23" t="str">
        <f>IFERROR(__xludf.DUMMYFUNCTION("SPARKLINE(INDEX(GOOGLEFINANCE(A20,""price"",TODAY()-365,TODAY()),,2), 
{""charttype"",""line""; 
""color"", IF(G20&gt;0, ""green"", ""red"")})"),"")</f>
        <v/>
      </c>
      <c r="G20" s="23">
        <f>IFERROR(__xludf.DUMMYFUNCTION("GOOGLEFINANCE(A20, ""price"") - INDEX(GOOGLEFINANCE(A20, ""price"", TODAY()-365, TODAY()), 2, 2)"),38.05999999999999)</f>
        <v>38.06</v>
      </c>
      <c r="H20" s="24">
        <f>IFERROR(__xludf.DUMMYFUNCTION("GOOGLEFINANCE($A20,H$2)"),2.015541510239E12)</f>
        <v>2015541510239</v>
      </c>
      <c r="I20" s="39">
        <v>7.01</v>
      </c>
      <c r="J20" s="26">
        <f>IFERROR(__xludf.DUMMYFUNCTION("GOOGLEFINANCE(A20, ""pe"")
"),23.63)</f>
        <v>23.63</v>
      </c>
      <c r="K20" s="27">
        <f>IFERROR(__xludf.DUMMYFUNCTION(" I20*GOOGLEFINANCE(A20, ""pe"")"),165.6463)</f>
        <v>165.6463</v>
      </c>
      <c r="L20" s="41">
        <f>60787000*1000</f>
        <v>60787000000</v>
      </c>
      <c r="M20" s="23">
        <f>IFERROR(__xludf.DUMMYFUNCTION("INDEX(GOOGLEFINANCE(A20, ""price"", TODAY()-365*5, TODAY()), 2, 2)
"),64.5)</f>
        <v>64.5</v>
      </c>
      <c r="N20" s="26">
        <f t="shared" si="1"/>
        <v>0.2062646386</v>
      </c>
      <c r="O20" s="29">
        <v>0.1</v>
      </c>
      <c r="P20" s="30">
        <f t="shared" si="2"/>
        <v>0.02</v>
      </c>
      <c r="Q20" s="31">
        <f t="shared" si="3"/>
        <v>55260909091</v>
      </c>
      <c r="R20" s="31">
        <f t="shared" si="4"/>
        <v>50237190083</v>
      </c>
      <c r="S20" s="31">
        <f t="shared" si="5"/>
        <v>45670172802</v>
      </c>
      <c r="T20" s="31">
        <f t="shared" si="6"/>
        <v>41518338911</v>
      </c>
      <c r="U20" s="31">
        <f t="shared" si="7"/>
        <v>37743944465</v>
      </c>
      <c r="V20" s="32">
        <f t="shared" si="8"/>
        <v>230430555352</v>
      </c>
      <c r="W20" s="32">
        <f t="shared" si="9"/>
        <v>759837500000</v>
      </c>
      <c r="X20" s="32">
        <f t="shared" si="10"/>
        <v>471799305810</v>
      </c>
      <c r="Y20" s="32">
        <f t="shared" si="11"/>
        <v>702229861162</v>
      </c>
      <c r="Z20" s="38">
        <f t="shared" si="12"/>
        <v>12235424696</v>
      </c>
    </row>
    <row r="21" ht="26.25" customHeight="1">
      <c r="A21" s="18" t="s">
        <v>46</v>
      </c>
      <c r="B21" s="19">
        <f>IFERROR(__xludf.DUMMYFUNCTION("GOOGLEFINANCE(A21,""price"")"),121.68)</f>
        <v>121.68</v>
      </c>
      <c r="C21" s="20" t="str">
        <f>IFERROR(__xludf.DUMMYFUNCTION("GOOGLEFINANCE($A21,C$2)"),"PDD Holdings Inc - ADR")</f>
        <v>PDD Holdings Inc - ADR</v>
      </c>
      <c r="D21" s="21">
        <f>IFERROR(__xludf.DUMMYFUNCTION("GOOGLEFINANCE($A21,D$2)"),-0.54)</f>
        <v>-0.54</v>
      </c>
      <c r="E21" s="22">
        <f>IFERROR(__xludf.DUMMYFUNCTION("GOOGLEFINANCE($A21,E$2)"),3223246.0)</f>
        <v>3223246</v>
      </c>
      <c r="F21" s="23" t="str">
        <f>IFERROR(__xludf.DUMMYFUNCTION("SPARKLINE(INDEX(GOOGLEFINANCE(A21,""price"",TODAY()-365,TODAY()),,2), 
{""charttype"",""line""; 
""color"", IF(G21&gt;0, ""green"", ""red"")})"),"")</f>
        <v/>
      </c>
      <c r="G21" s="23">
        <f>IFERROR(__xludf.DUMMYFUNCTION("GOOGLEFINANCE(A21, ""price"") - INDEX(GOOGLEFINANCE(A21, ""price"", TODAY()-365, TODAY()), 2, 2)"),14.190000000000012)</f>
        <v>14.19</v>
      </c>
      <c r="H21" s="24">
        <f>IFERROR(__xludf.DUMMYFUNCTION("GOOGLEFINANCE($A21,H$2)"),1.68985534023E11)</f>
        <v>168985534023</v>
      </c>
      <c r="I21" s="39">
        <v>9.74</v>
      </c>
      <c r="J21" s="26">
        <f>IFERROR(__xludf.DUMMYFUNCTION("GOOGLEFINANCE(A21, ""pe"")
"),12.9)</f>
        <v>12.9</v>
      </c>
      <c r="K21" s="27">
        <f>IFERROR(__xludf.DUMMYFUNCTION(" I21*GOOGLEFINANCE(A21, ""pe"")"),125.646)</f>
        <v>125.646</v>
      </c>
      <c r="L21" s="41">
        <f>133704468*1000</f>
        <v>133704468000</v>
      </c>
      <c r="M21" s="23">
        <f>IFERROR(__xludf.DUMMYFUNCTION("INDEX(GOOGLEFINANCE(A21, ""price"", TODAY()-365*5, TODAY()), 2, 2)
"),42.58)</f>
        <v>42.58</v>
      </c>
      <c r="N21" s="26">
        <f t="shared" si="1"/>
        <v>0.2336805245</v>
      </c>
      <c r="O21" s="29">
        <v>0.03</v>
      </c>
      <c r="P21" s="30">
        <f t="shared" si="2"/>
        <v>0.02</v>
      </c>
      <c r="Q21" s="31">
        <f t="shared" ref="Q21:Q23" si="14">$L21 * (1 + $N21)^1</f>
        <v>164948598207</v>
      </c>
      <c r="R21" s="31">
        <f t="shared" ref="R21:R23" si="15">$L21 * (1 + $N21)^2</f>
        <v>203493873147</v>
      </c>
      <c r="S21" s="31">
        <f t="shared" ref="S21:S23" si="16">$L21 * (1 + $N21)^3</f>
        <v>251046428151</v>
      </c>
      <c r="T21" s="31">
        <f t="shared" ref="T21:T23" si="17">$L21 * (1 + $N21)^4</f>
        <v>309711089149</v>
      </c>
      <c r="U21" s="31">
        <f t="shared" ref="U21:U23" si="18">$L21 * (1 + $N21)^5</f>
        <v>382084538897</v>
      </c>
      <c r="V21" s="32">
        <f t="shared" si="8"/>
        <v>1311284527552</v>
      </c>
      <c r="W21" s="32">
        <f t="shared" si="9"/>
        <v>13370446800000</v>
      </c>
      <c r="X21" s="32">
        <f t="shared" si="10"/>
        <v>11533464860821</v>
      </c>
      <c r="Y21" s="32">
        <f t="shared" si="11"/>
        <v>12844749388373</v>
      </c>
      <c r="Z21" s="38">
        <f t="shared" si="12"/>
        <v>1388770003</v>
      </c>
    </row>
    <row r="22" ht="26.25" customHeight="1">
      <c r="A22" s="18" t="s">
        <v>47</v>
      </c>
      <c r="B22" s="19">
        <f>IFERROR(__xludf.DUMMYFUNCTION("GOOGLEFINANCE(A22,""price"")"),262.13)</f>
        <v>262.13</v>
      </c>
      <c r="C22" s="20" t="str">
        <f>IFERROR(__xludf.DUMMYFUNCTION("GOOGLEFINANCE($A22,C$2)"),"Humana Inc")</f>
        <v>Humana Inc</v>
      </c>
      <c r="D22" s="21">
        <f>IFERROR(__xludf.DUMMYFUNCTION("GOOGLEFINANCE($A22,D$2)"),1.31)</f>
        <v>1.31</v>
      </c>
      <c r="E22" s="22">
        <f>IFERROR(__xludf.DUMMYFUNCTION("GOOGLEFINANCE($A22,E$2)"),632103.0)</f>
        <v>632103</v>
      </c>
      <c r="F22" s="23" t="str">
        <f>IFERROR(__xludf.DUMMYFUNCTION("SPARKLINE(INDEX(GOOGLEFINANCE(A22,""price"",TODAY()-365,TODAY()),,2), 
{""charttype"",""line""; 
""color"", IF(G22&gt;0, ""green"", ""red"")})"),"")</f>
        <v/>
      </c>
      <c r="G22" s="23">
        <f>IFERROR(__xludf.DUMMYFUNCTION("GOOGLEFINANCE(A22, ""price"") - INDEX(GOOGLEFINANCE(A22, ""price"", TODAY()-365, TODAY()), 2, 2)"),-260.64)</f>
        <v>-260.64</v>
      </c>
      <c r="H22" s="24">
        <f>IFERROR(__xludf.DUMMYFUNCTION("GOOGLEFINANCE($A22,H$2)"),3.1560871995E10)</f>
        <v>31560871995</v>
      </c>
      <c r="I22" s="39">
        <v>14.3</v>
      </c>
      <c r="J22" s="26">
        <f>IFERROR(__xludf.DUMMYFUNCTION("GOOGLEFINANCE(A22, ""pe"")
"),18.68)</f>
        <v>18.68</v>
      </c>
      <c r="K22" s="27">
        <f>IFERROR(__xludf.DUMMYFUNCTION(" I22*GOOGLEFINANCE(A22, ""pe"")"),267.124)</f>
        <v>267.124</v>
      </c>
      <c r="L22" s="41">
        <f>-5054000*1000</f>
        <v>-5054000000</v>
      </c>
      <c r="M22" s="23">
        <f>IFERROR(__xludf.DUMMYFUNCTION("INDEX(GOOGLEFINANCE(A22, ""price"", TODAY()-365*5, TODAY()), 2, 2)
"),289.37)</f>
        <v>289.37</v>
      </c>
      <c r="N22" s="26">
        <f t="shared" si="1"/>
        <v>-0.01957891049</v>
      </c>
      <c r="O22" s="29">
        <v>0.05</v>
      </c>
      <c r="P22" s="30">
        <f t="shared" si="2"/>
        <v>0.03</v>
      </c>
      <c r="Q22" s="31">
        <f t="shared" si="14"/>
        <v>-4955048186</v>
      </c>
      <c r="R22" s="31">
        <f t="shared" si="15"/>
        <v>-4858033741</v>
      </c>
      <c r="S22" s="31">
        <f t="shared" si="16"/>
        <v>-4762918734</v>
      </c>
      <c r="T22" s="31">
        <f t="shared" si="17"/>
        <v>-4669665974</v>
      </c>
      <c r="U22" s="31">
        <f t="shared" si="18"/>
        <v>-4578239002</v>
      </c>
      <c r="V22" s="32">
        <f t="shared" si="8"/>
        <v>-23823905638</v>
      </c>
      <c r="W22" s="32">
        <f t="shared" si="9"/>
        <v>-168466666667</v>
      </c>
      <c r="X22" s="32">
        <f t="shared" si="10"/>
        <v>-131998041511</v>
      </c>
      <c r="Y22" s="32">
        <f t="shared" si="11"/>
        <v>-155821947149</v>
      </c>
      <c r="Z22" s="38">
        <f t="shared" si="12"/>
        <v>120401602.2</v>
      </c>
    </row>
    <row r="23" ht="26.25" customHeight="1">
      <c r="A23" s="18" t="s">
        <v>48</v>
      </c>
      <c r="B23" s="19">
        <f>IFERROR(__xludf.DUMMYFUNCTION("GOOGLEFINANCE(A23,""price"")"),17.68)</f>
        <v>17.68</v>
      </c>
      <c r="C23" s="20" t="str">
        <f>IFERROR(__xludf.DUMMYFUNCTION("GOOGLEFINANCE($A23,C$2)"),"Inmode Ltd")</f>
        <v>Inmode Ltd</v>
      </c>
      <c r="D23" s="21">
        <f>IFERROR(__xludf.DUMMYFUNCTION("GOOGLEFINANCE($A23,D$2)"),-0.9)</f>
        <v>-0.9</v>
      </c>
      <c r="E23" s="22">
        <f>IFERROR(__xludf.DUMMYFUNCTION("GOOGLEFINANCE($A23,E$2)"),363631.0)</f>
        <v>363631</v>
      </c>
      <c r="F23" s="23" t="str">
        <f>IFERROR(__xludf.DUMMYFUNCTION("SPARKLINE(INDEX(GOOGLEFINANCE(A23,""price"",TODAY()-365,TODAY()),,2), 
{""charttype"",""line""; 
""color"", IF(G23&gt;0, ""green"", ""red"")})"),"")</f>
        <v/>
      </c>
      <c r="G23" s="23">
        <f>IFERROR(__xludf.DUMMYFUNCTION("GOOGLEFINANCE(A23, ""price"") - INDEX(GOOGLEFINANCE(A23, ""price"", TODAY()-365, TODAY()), 2, 2)"),-2.0199999999999996)</f>
        <v>-2.02</v>
      </c>
      <c r="H23" s="24">
        <f>IFERROR(__xludf.DUMMYFUNCTION("GOOGLEFINANCE($A23,H$2)"),1.348084111E9)</f>
        <v>1348084111</v>
      </c>
      <c r="I23" s="39">
        <v>1.77</v>
      </c>
      <c r="J23" s="26">
        <f>IFERROR(__xludf.DUMMYFUNCTION("GOOGLEFINANCE(A23, ""pe"")
"),10.2)</f>
        <v>10.2</v>
      </c>
      <c r="K23" s="27">
        <f>IFERROR(__xludf.DUMMYFUNCTION(" I23*GOOGLEFINANCE(A23, ""pe"")"),18.054)</f>
        <v>18.054</v>
      </c>
      <c r="L23" s="41">
        <f>168358*1000</f>
        <v>168358000</v>
      </c>
      <c r="M23" s="23">
        <f>IFERROR(__xludf.DUMMYFUNCTION("INDEX(GOOGLEFINANCE(A23, ""price"", TODAY()-365*5, TODAY()), 2, 2)
"),15.64)</f>
        <v>15.64</v>
      </c>
      <c r="N23" s="26">
        <f t="shared" si="1"/>
        <v>0.02482356331</v>
      </c>
      <c r="O23" s="29">
        <v>19.48</v>
      </c>
      <c r="P23" s="30">
        <f t="shared" si="2"/>
        <v>0.03</v>
      </c>
      <c r="Q23" s="31">
        <f t="shared" si="14"/>
        <v>172537245.5</v>
      </c>
      <c r="R23" s="31">
        <f t="shared" si="15"/>
        <v>176820234.7</v>
      </c>
      <c r="S23" s="31">
        <f t="shared" si="16"/>
        <v>181209543</v>
      </c>
      <c r="T23" s="31">
        <f t="shared" si="17"/>
        <v>185707809.6</v>
      </c>
      <c r="U23" s="31">
        <f t="shared" si="18"/>
        <v>190317739.1</v>
      </c>
      <c r="V23" s="32">
        <f t="shared" si="8"/>
        <v>906592571.9</v>
      </c>
      <c r="W23" s="32">
        <f t="shared" si="9"/>
        <v>8651490.236</v>
      </c>
      <c r="X23" s="32">
        <f t="shared" si="10"/>
        <v>2.401270914</v>
      </c>
      <c r="Y23" s="32">
        <f t="shared" si="11"/>
        <v>906592574.3</v>
      </c>
      <c r="Z23" s="38">
        <f t="shared" si="12"/>
        <v>76249101.3</v>
      </c>
    </row>
    <row r="24" ht="26.25" customHeight="1">
      <c r="A24" s="18" t="s">
        <v>49</v>
      </c>
      <c r="B24" s="19">
        <f>IFERROR(__xludf.DUMMYFUNCTION("GOOGLEFINANCE(A24,""price"")"),13.12)</f>
        <v>13.12</v>
      </c>
      <c r="C24" s="20" t="str">
        <f>IFERROR(__xludf.DUMMYFUNCTION("GOOGLEFINANCE($A24,C$2)"),"iShares Global Clean Energy ETF")</f>
        <v>iShares Global Clean Energy ETF</v>
      </c>
      <c r="D24" s="21">
        <f>IFERROR(__xludf.DUMMYFUNCTION("GOOGLEFINANCE($A24,D$2)"),0.19)</f>
        <v>0.19</v>
      </c>
      <c r="E24" s="22">
        <f>IFERROR(__xludf.DUMMYFUNCTION("GOOGLEFINANCE($A24,E$2)"),1423705.0)</f>
        <v>1423705</v>
      </c>
      <c r="F24" s="23" t="str">
        <f>IFERROR(__xludf.DUMMYFUNCTION("SPARKLINE(INDEX(GOOGLEFINANCE(A24,""price"",TODAY()-365,TODAY()),,2), 
{""charttype"",""line""; 
""color"", IF(G24&gt;0, ""green"", ""red"")})"),"")</f>
        <v/>
      </c>
      <c r="G24" s="23">
        <f>IFERROR(__xludf.DUMMYFUNCTION("GOOGLEFINANCE(A24, ""price"") - INDEX(GOOGLEFINANCE(A24, ""price"", TODAY()-365, TODAY()), 2, 2)"),-0.09000000000000163)</f>
        <v>-0.09</v>
      </c>
      <c r="H24" s="46"/>
      <c r="I24" s="33" t="s">
        <v>38</v>
      </c>
      <c r="J24" s="25" t="s">
        <v>38</v>
      </c>
      <c r="K24" s="42" t="s">
        <v>38</v>
      </c>
      <c r="L24" s="47" t="s">
        <v>38</v>
      </c>
      <c r="M24" s="23">
        <f>IFERROR(__xludf.DUMMYFUNCTION("INDEX(GOOGLEFINANCE(A24, ""price"", TODAY()-365*5, TODAY()), 2, 2)
"),10.88)</f>
        <v>10.88</v>
      </c>
      <c r="N24" s="26">
        <f t="shared" si="1"/>
        <v>0.03815210272</v>
      </c>
      <c r="O24" s="44"/>
      <c r="P24" s="30">
        <f t="shared" si="2"/>
        <v>0.02</v>
      </c>
      <c r="Q24" s="23"/>
      <c r="Z24" s="11"/>
    </row>
    <row r="25">
      <c r="B25" s="48"/>
      <c r="D25" s="49"/>
      <c r="E25" s="50"/>
      <c r="F25" s="23"/>
      <c r="H25" s="51"/>
      <c r="I25" s="52"/>
      <c r="J25" s="26"/>
      <c r="K25" s="53"/>
      <c r="L25" s="32"/>
      <c r="O25" s="11"/>
      <c r="Z25" s="11"/>
    </row>
    <row r="26">
      <c r="B26" s="48"/>
      <c r="D26" s="49"/>
      <c r="E26" s="50"/>
      <c r="F26" s="23"/>
      <c r="H26" s="51"/>
      <c r="I26" s="52"/>
      <c r="J26" s="26"/>
      <c r="K26" s="53"/>
      <c r="L26" s="32"/>
      <c r="O26" s="11"/>
      <c r="Z26" s="11"/>
    </row>
    <row r="27">
      <c r="B27" s="48"/>
      <c r="D27" s="49"/>
      <c r="E27" s="50"/>
      <c r="F27" s="23"/>
      <c r="H27" s="51"/>
      <c r="I27" s="52"/>
      <c r="J27" s="26"/>
      <c r="K27" s="53"/>
      <c r="L27" s="32"/>
      <c r="O27" s="11"/>
      <c r="Z27" s="11"/>
    </row>
    <row r="28">
      <c r="B28" s="48"/>
      <c r="D28" s="49"/>
      <c r="E28" s="50"/>
      <c r="F28" s="23"/>
      <c r="H28" s="51"/>
      <c r="I28" s="52"/>
      <c r="J28" s="26"/>
      <c r="K28" s="53"/>
      <c r="L28" s="32"/>
      <c r="O28" s="11"/>
      <c r="Z28" s="11"/>
    </row>
    <row r="29">
      <c r="B29" s="48"/>
      <c r="D29" s="49"/>
      <c r="E29" s="50"/>
      <c r="F29" s="23"/>
      <c r="H29" s="51"/>
      <c r="I29" s="52"/>
      <c r="J29" s="26"/>
      <c r="K29" s="53"/>
      <c r="L29" s="32"/>
      <c r="O29" s="11"/>
      <c r="Z29" s="11"/>
    </row>
    <row r="30">
      <c r="B30" s="48"/>
      <c r="D30" s="49"/>
      <c r="E30" s="50"/>
      <c r="F30" s="23"/>
      <c r="H30" s="51"/>
      <c r="I30" s="52"/>
      <c r="K30" s="53"/>
      <c r="L30" s="32"/>
      <c r="O30" s="11"/>
      <c r="Z30" s="11"/>
    </row>
    <row r="31">
      <c r="B31" s="48"/>
      <c r="D31" s="49"/>
      <c r="E31" s="50"/>
      <c r="F31" s="23"/>
      <c r="H31" s="51"/>
      <c r="I31" s="52"/>
      <c r="K31" s="53"/>
      <c r="L31" s="32"/>
      <c r="O31" s="11"/>
      <c r="Z31" s="11"/>
    </row>
    <row r="32">
      <c r="B32" s="48"/>
      <c r="D32" s="49"/>
      <c r="E32" s="50"/>
      <c r="F32" s="23"/>
      <c r="H32" s="51"/>
      <c r="I32" s="52"/>
      <c r="K32" s="53"/>
      <c r="L32" s="32"/>
      <c r="O32" s="11"/>
      <c r="Z32" s="11"/>
    </row>
    <row r="33">
      <c r="B33" s="48"/>
      <c r="D33" s="49"/>
      <c r="E33" s="50"/>
      <c r="F33" s="23"/>
      <c r="H33" s="51"/>
      <c r="I33" s="52"/>
      <c r="K33" s="53"/>
      <c r="L33" s="32"/>
      <c r="O33" s="11"/>
      <c r="Z33" s="11"/>
    </row>
    <row r="34">
      <c r="B34" s="48"/>
      <c r="D34" s="49"/>
      <c r="E34" s="50"/>
      <c r="F34" s="23"/>
      <c r="H34" s="51"/>
      <c r="I34" s="52"/>
      <c r="K34" s="53"/>
      <c r="L34" s="32"/>
      <c r="O34" s="11"/>
      <c r="Z34" s="11"/>
    </row>
    <row r="35">
      <c r="B35" s="48"/>
      <c r="D35" s="49"/>
      <c r="E35" s="50"/>
      <c r="H35" s="51"/>
      <c r="I35" s="52"/>
      <c r="K35" s="53"/>
      <c r="L35" s="32"/>
      <c r="O35" s="11"/>
      <c r="Z35" s="11"/>
    </row>
    <row r="36">
      <c r="B36" s="48"/>
      <c r="D36" s="49"/>
      <c r="E36" s="50"/>
      <c r="H36" s="51"/>
      <c r="I36" s="52"/>
      <c r="K36" s="53"/>
      <c r="L36" s="32"/>
      <c r="O36" s="11"/>
      <c r="Z36" s="11"/>
    </row>
    <row r="37">
      <c r="B37" s="48"/>
      <c r="D37" s="49"/>
      <c r="E37" s="50"/>
      <c r="H37" s="51"/>
      <c r="I37" s="52"/>
      <c r="K37" s="53"/>
      <c r="L37" s="32"/>
      <c r="O37" s="11"/>
      <c r="Z37" s="11"/>
    </row>
    <row r="38">
      <c r="B38" s="48"/>
      <c r="D38" s="49"/>
      <c r="E38" s="50"/>
      <c r="H38" s="51"/>
      <c r="I38" s="52"/>
      <c r="K38" s="53"/>
      <c r="L38" s="32"/>
      <c r="O38" s="11"/>
      <c r="Z38" s="11"/>
    </row>
    <row r="39">
      <c r="B39" s="48"/>
      <c r="D39" s="49"/>
      <c r="E39" s="50"/>
      <c r="H39" s="51"/>
      <c r="I39" s="52"/>
      <c r="K39" s="53"/>
      <c r="L39" s="32"/>
      <c r="O39" s="11"/>
      <c r="Z39" s="11"/>
    </row>
    <row r="40">
      <c r="B40" s="48"/>
      <c r="D40" s="49"/>
      <c r="E40" s="50"/>
      <c r="H40" s="51"/>
      <c r="I40" s="52"/>
      <c r="K40" s="53"/>
      <c r="L40" s="32"/>
      <c r="O40" s="11"/>
      <c r="Z40" s="11"/>
    </row>
    <row r="41">
      <c r="B41" s="48"/>
      <c r="D41" s="49"/>
      <c r="E41" s="50"/>
      <c r="H41" s="51"/>
      <c r="I41" s="52"/>
      <c r="K41" s="53"/>
      <c r="L41" s="32"/>
      <c r="O41" s="11"/>
      <c r="Z41" s="11"/>
    </row>
    <row r="42">
      <c r="B42" s="48"/>
      <c r="D42" s="49"/>
      <c r="E42" s="50"/>
      <c r="H42" s="51"/>
      <c r="I42" s="52"/>
      <c r="K42" s="53"/>
      <c r="L42" s="32"/>
      <c r="O42" s="11"/>
      <c r="Z42" s="11"/>
    </row>
    <row r="43">
      <c r="B43" s="48"/>
      <c r="D43" s="49"/>
      <c r="E43" s="50"/>
      <c r="H43" s="51"/>
      <c r="I43" s="52"/>
      <c r="K43" s="53"/>
      <c r="L43" s="32"/>
      <c r="O43" s="11"/>
      <c r="Z43" s="11"/>
    </row>
    <row r="44">
      <c r="B44" s="48"/>
      <c r="D44" s="49"/>
      <c r="E44" s="50"/>
      <c r="H44" s="51"/>
      <c r="I44" s="52"/>
      <c r="K44" s="53"/>
      <c r="L44" s="32"/>
      <c r="O44" s="11"/>
      <c r="Z44" s="11"/>
    </row>
    <row r="45">
      <c r="B45" s="48"/>
      <c r="D45" s="49"/>
      <c r="E45" s="50"/>
      <c r="H45" s="51"/>
      <c r="I45" s="52"/>
      <c r="K45" s="53"/>
      <c r="L45" s="32"/>
      <c r="O45" s="11"/>
      <c r="Z45" s="11"/>
    </row>
    <row r="46">
      <c r="B46" s="48"/>
      <c r="D46" s="49"/>
      <c r="E46" s="50"/>
      <c r="H46" s="51"/>
      <c r="I46" s="52"/>
      <c r="K46" s="53"/>
      <c r="L46" s="32"/>
      <c r="O46" s="11"/>
      <c r="Z46" s="11"/>
    </row>
    <row r="47">
      <c r="B47" s="48"/>
      <c r="D47" s="49"/>
      <c r="E47" s="50"/>
      <c r="H47" s="51"/>
      <c r="I47" s="52"/>
      <c r="K47" s="53"/>
      <c r="L47" s="32"/>
      <c r="O47" s="11"/>
      <c r="Z47" s="11"/>
    </row>
    <row r="48">
      <c r="B48" s="48"/>
      <c r="D48" s="49"/>
      <c r="E48" s="50"/>
      <c r="H48" s="51"/>
      <c r="I48" s="52"/>
      <c r="K48" s="53"/>
      <c r="L48" s="32"/>
      <c r="O48" s="11"/>
      <c r="Z48" s="11"/>
    </row>
    <row r="49">
      <c r="B49" s="48"/>
      <c r="D49" s="49"/>
      <c r="E49" s="50"/>
      <c r="H49" s="51"/>
      <c r="I49" s="52"/>
      <c r="K49" s="53"/>
      <c r="L49" s="32"/>
      <c r="O49" s="11"/>
      <c r="Z49" s="11"/>
    </row>
    <row r="50">
      <c r="B50" s="48"/>
      <c r="D50" s="49"/>
      <c r="E50" s="50"/>
      <c r="H50" s="51"/>
      <c r="I50" s="52"/>
      <c r="K50" s="53"/>
      <c r="L50" s="32"/>
      <c r="O50" s="11"/>
      <c r="Z50" s="11"/>
    </row>
    <row r="51">
      <c r="B51" s="48"/>
      <c r="D51" s="49"/>
      <c r="E51" s="50"/>
      <c r="H51" s="51"/>
      <c r="I51" s="52"/>
      <c r="K51" s="53"/>
      <c r="L51" s="32"/>
      <c r="O51" s="11"/>
      <c r="Z51" s="11"/>
    </row>
    <row r="52">
      <c r="B52" s="48"/>
      <c r="D52" s="49"/>
      <c r="E52" s="50"/>
      <c r="H52" s="51"/>
      <c r="I52" s="52"/>
      <c r="K52" s="53"/>
      <c r="L52" s="32"/>
      <c r="O52" s="11"/>
      <c r="Z52" s="11"/>
    </row>
    <row r="53">
      <c r="B53" s="48"/>
      <c r="D53" s="49"/>
      <c r="E53" s="50"/>
      <c r="H53" s="51"/>
      <c r="I53" s="52"/>
      <c r="K53" s="53"/>
      <c r="L53" s="32"/>
      <c r="O53" s="11"/>
      <c r="Z53" s="11"/>
    </row>
    <row r="54">
      <c r="B54" s="48"/>
      <c r="D54" s="49"/>
      <c r="E54" s="50"/>
      <c r="H54" s="51"/>
      <c r="I54" s="52"/>
      <c r="K54" s="53"/>
      <c r="L54" s="32"/>
      <c r="O54" s="11"/>
      <c r="Z54" s="11"/>
    </row>
    <row r="55">
      <c r="B55" s="48"/>
      <c r="D55" s="49"/>
      <c r="E55" s="50"/>
      <c r="H55" s="51"/>
      <c r="I55" s="52"/>
      <c r="K55" s="53"/>
      <c r="L55" s="32"/>
      <c r="O55" s="11"/>
      <c r="Z55" s="11"/>
    </row>
    <row r="56">
      <c r="B56" s="48"/>
      <c r="D56" s="49"/>
      <c r="E56" s="50"/>
      <c r="H56" s="51"/>
      <c r="I56" s="52"/>
      <c r="K56" s="53"/>
      <c r="L56" s="32"/>
      <c r="O56" s="11"/>
      <c r="Z56" s="11"/>
    </row>
    <row r="57">
      <c r="B57" s="48"/>
      <c r="D57" s="49"/>
      <c r="E57" s="50"/>
      <c r="H57" s="51"/>
      <c r="I57" s="52"/>
      <c r="K57" s="53"/>
      <c r="L57" s="32"/>
      <c r="O57" s="11"/>
      <c r="Z57" s="11"/>
    </row>
    <row r="58">
      <c r="B58" s="48"/>
      <c r="D58" s="49"/>
      <c r="E58" s="50"/>
      <c r="H58" s="51"/>
      <c r="I58" s="52"/>
      <c r="K58" s="53"/>
      <c r="L58" s="32"/>
      <c r="O58" s="11"/>
      <c r="Z58" s="11"/>
    </row>
    <row r="59">
      <c r="B59" s="48"/>
      <c r="D59" s="49"/>
      <c r="E59" s="50"/>
      <c r="H59" s="51"/>
      <c r="I59" s="52"/>
      <c r="K59" s="53"/>
      <c r="L59" s="32"/>
      <c r="O59" s="11"/>
      <c r="Z59" s="11"/>
    </row>
    <row r="60">
      <c r="B60" s="48"/>
      <c r="D60" s="49"/>
      <c r="E60" s="50"/>
      <c r="H60" s="51"/>
      <c r="I60" s="52"/>
      <c r="K60" s="53"/>
      <c r="L60" s="32"/>
      <c r="O60" s="11"/>
      <c r="Z60" s="11"/>
    </row>
    <row r="61">
      <c r="B61" s="48"/>
      <c r="D61" s="49"/>
      <c r="E61" s="50"/>
      <c r="H61" s="51"/>
      <c r="I61" s="52"/>
      <c r="K61" s="53"/>
      <c r="L61" s="32"/>
      <c r="O61" s="11"/>
      <c r="Z61" s="11"/>
    </row>
    <row r="62">
      <c r="B62" s="48"/>
      <c r="D62" s="49"/>
      <c r="E62" s="50"/>
      <c r="H62" s="51"/>
      <c r="I62" s="52"/>
      <c r="K62" s="53"/>
      <c r="L62" s="32"/>
      <c r="O62" s="11"/>
      <c r="Z62" s="11"/>
    </row>
    <row r="63">
      <c r="B63" s="48"/>
      <c r="D63" s="49"/>
      <c r="E63" s="50"/>
      <c r="H63" s="51"/>
      <c r="I63" s="52"/>
      <c r="K63" s="53"/>
      <c r="L63" s="32"/>
      <c r="O63" s="11"/>
      <c r="Z63" s="11"/>
    </row>
    <row r="64">
      <c r="B64" s="48"/>
      <c r="D64" s="49"/>
      <c r="E64" s="50"/>
      <c r="H64" s="51"/>
      <c r="I64" s="52"/>
      <c r="K64" s="53"/>
      <c r="L64" s="32"/>
      <c r="O64" s="11"/>
      <c r="Z64" s="11"/>
    </row>
    <row r="65">
      <c r="B65" s="48"/>
      <c r="D65" s="49"/>
      <c r="E65" s="50"/>
      <c r="H65" s="51"/>
      <c r="I65" s="52"/>
      <c r="K65" s="53"/>
      <c r="L65" s="32"/>
      <c r="O65" s="11"/>
      <c r="Z65" s="11"/>
    </row>
    <row r="66">
      <c r="B66" s="48"/>
      <c r="D66" s="49"/>
      <c r="E66" s="50"/>
      <c r="H66" s="51"/>
      <c r="I66" s="52"/>
      <c r="K66" s="53"/>
      <c r="L66" s="32"/>
      <c r="O66" s="11"/>
      <c r="Z66" s="11"/>
    </row>
    <row r="67">
      <c r="B67" s="48"/>
      <c r="D67" s="49"/>
      <c r="E67" s="50"/>
      <c r="H67" s="51"/>
      <c r="I67" s="52"/>
      <c r="K67" s="53"/>
      <c r="L67" s="32"/>
      <c r="O67" s="11"/>
      <c r="Z67" s="11"/>
    </row>
    <row r="68">
      <c r="B68" s="48"/>
      <c r="D68" s="49"/>
      <c r="E68" s="50"/>
      <c r="H68" s="51"/>
      <c r="I68" s="52"/>
      <c r="K68" s="53"/>
      <c r="L68" s="32"/>
      <c r="O68" s="11"/>
      <c r="Z68" s="11"/>
    </row>
    <row r="69">
      <c r="B69" s="48"/>
      <c r="D69" s="49"/>
      <c r="E69" s="50"/>
      <c r="H69" s="51"/>
      <c r="I69" s="52"/>
      <c r="K69" s="53"/>
      <c r="L69" s="32"/>
      <c r="O69" s="11"/>
      <c r="Z69" s="11"/>
    </row>
    <row r="70">
      <c r="B70" s="48"/>
      <c r="D70" s="49"/>
      <c r="E70" s="50"/>
      <c r="H70" s="51"/>
      <c r="I70" s="52"/>
      <c r="K70" s="53"/>
      <c r="L70" s="32"/>
      <c r="O70" s="11"/>
      <c r="Z70" s="11"/>
    </row>
    <row r="71">
      <c r="B71" s="48"/>
      <c r="D71" s="49"/>
      <c r="E71" s="50"/>
      <c r="H71" s="51"/>
      <c r="I71" s="52"/>
      <c r="K71" s="53"/>
      <c r="L71" s="32"/>
      <c r="O71" s="11"/>
      <c r="Z71" s="11"/>
    </row>
    <row r="72">
      <c r="B72" s="48"/>
      <c r="D72" s="49"/>
      <c r="E72" s="50"/>
      <c r="H72" s="51"/>
      <c r="I72" s="52"/>
      <c r="K72" s="53"/>
      <c r="L72" s="32"/>
      <c r="O72" s="11"/>
      <c r="Z72" s="11"/>
    </row>
    <row r="73">
      <c r="B73" s="48"/>
      <c r="D73" s="49"/>
      <c r="E73" s="50"/>
      <c r="H73" s="51"/>
      <c r="I73" s="52"/>
      <c r="K73" s="53"/>
      <c r="L73" s="32"/>
      <c r="O73" s="11"/>
      <c r="Z73" s="11"/>
    </row>
    <row r="74">
      <c r="B74" s="48"/>
      <c r="D74" s="49"/>
      <c r="E74" s="50"/>
      <c r="H74" s="51"/>
      <c r="I74" s="52"/>
      <c r="K74" s="53"/>
      <c r="L74" s="32"/>
      <c r="O74" s="11"/>
      <c r="Z74" s="11"/>
    </row>
    <row r="75">
      <c r="B75" s="48"/>
      <c r="D75" s="49"/>
      <c r="E75" s="50"/>
      <c r="H75" s="51"/>
      <c r="I75" s="52"/>
      <c r="K75" s="53"/>
      <c r="L75" s="32"/>
      <c r="O75" s="11"/>
      <c r="Z75" s="11"/>
    </row>
    <row r="76">
      <c r="B76" s="48"/>
      <c r="D76" s="49"/>
      <c r="E76" s="50"/>
      <c r="H76" s="51"/>
      <c r="I76" s="52"/>
      <c r="K76" s="53"/>
      <c r="L76" s="32"/>
      <c r="O76" s="11"/>
      <c r="Z76" s="11"/>
    </row>
    <row r="77">
      <c r="B77" s="48"/>
      <c r="D77" s="49"/>
      <c r="E77" s="50"/>
      <c r="H77" s="51"/>
      <c r="I77" s="52"/>
      <c r="K77" s="53"/>
      <c r="L77" s="32"/>
      <c r="O77" s="11"/>
      <c r="Z77" s="11"/>
    </row>
    <row r="78">
      <c r="B78" s="48"/>
      <c r="D78" s="49"/>
      <c r="E78" s="50"/>
      <c r="H78" s="51"/>
      <c r="I78" s="52"/>
      <c r="K78" s="53"/>
      <c r="L78" s="32"/>
      <c r="O78" s="11"/>
      <c r="Z78" s="11"/>
    </row>
    <row r="79">
      <c r="B79" s="48"/>
      <c r="D79" s="49"/>
      <c r="E79" s="50"/>
      <c r="H79" s="51"/>
      <c r="I79" s="52"/>
      <c r="K79" s="53"/>
      <c r="L79" s="32"/>
      <c r="O79" s="11"/>
      <c r="Z79" s="11"/>
    </row>
    <row r="80">
      <c r="B80" s="48"/>
      <c r="D80" s="49"/>
      <c r="E80" s="50"/>
      <c r="H80" s="51"/>
      <c r="I80" s="52"/>
      <c r="K80" s="53"/>
      <c r="L80" s="32"/>
      <c r="O80" s="11"/>
      <c r="Z80" s="11"/>
    </row>
    <row r="81">
      <c r="B81" s="48"/>
      <c r="D81" s="49"/>
      <c r="E81" s="50"/>
      <c r="H81" s="51"/>
      <c r="I81" s="52"/>
      <c r="K81" s="53"/>
      <c r="L81" s="32"/>
      <c r="O81" s="11"/>
      <c r="Z81" s="11"/>
    </row>
    <row r="82">
      <c r="B82" s="48"/>
      <c r="D82" s="49"/>
      <c r="E82" s="50"/>
      <c r="H82" s="51"/>
      <c r="I82" s="52"/>
      <c r="K82" s="53"/>
      <c r="L82" s="32"/>
      <c r="O82" s="11"/>
      <c r="Z82" s="11"/>
    </row>
    <row r="83">
      <c r="B83" s="48"/>
      <c r="D83" s="49"/>
      <c r="E83" s="50"/>
      <c r="H83" s="51"/>
      <c r="I83" s="52"/>
      <c r="K83" s="53"/>
      <c r="L83" s="32"/>
      <c r="O83" s="11"/>
      <c r="Z83" s="11"/>
    </row>
    <row r="84">
      <c r="B84" s="48"/>
      <c r="D84" s="49"/>
      <c r="E84" s="50"/>
      <c r="H84" s="51"/>
      <c r="I84" s="52"/>
      <c r="K84" s="53"/>
      <c r="L84" s="32"/>
      <c r="O84" s="11"/>
      <c r="Z84" s="11"/>
    </row>
    <row r="85">
      <c r="B85" s="48"/>
      <c r="D85" s="49"/>
      <c r="E85" s="50"/>
      <c r="H85" s="51"/>
      <c r="I85" s="52"/>
      <c r="K85" s="53"/>
      <c r="L85" s="32"/>
      <c r="O85" s="11"/>
      <c r="Z85" s="11"/>
    </row>
    <row r="86">
      <c r="B86" s="48"/>
      <c r="D86" s="49"/>
      <c r="E86" s="50"/>
      <c r="H86" s="51"/>
      <c r="I86" s="52"/>
      <c r="K86" s="53"/>
      <c r="L86" s="32"/>
      <c r="O86" s="11"/>
      <c r="Z86" s="11"/>
    </row>
    <row r="87">
      <c r="B87" s="48"/>
      <c r="D87" s="49"/>
      <c r="E87" s="50"/>
      <c r="H87" s="51"/>
      <c r="I87" s="52"/>
      <c r="K87" s="53"/>
      <c r="L87" s="32"/>
      <c r="O87" s="11"/>
      <c r="Z87" s="11"/>
    </row>
    <row r="88">
      <c r="B88" s="48"/>
      <c r="D88" s="49"/>
      <c r="E88" s="50"/>
      <c r="H88" s="51"/>
      <c r="I88" s="52"/>
      <c r="K88" s="53"/>
      <c r="L88" s="32"/>
      <c r="O88" s="11"/>
      <c r="Z88" s="11"/>
    </row>
    <row r="89">
      <c r="B89" s="48"/>
      <c r="D89" s="49"/>
      <c r="E89" s="50"/>
      <c r="H89" s="51"/>
      <c r="I89" s="52"/>
      <c r="K89" s="53"/>
      <c r="L89" s="32"/>
      <c r="O89" s="11"/>
      <c r="Z89" s="11"/>
    </row>
    <row r="90">
      <c r="B90" s="48"/>
      <c r="D90" s="49"/>
      <c r="E90" s="50"/>
      <c r="H90" s="51"/>
      <c r="I90" s="52"/>
      <c r="K90" s="53"/>
      <c r="L90" s="32"/>
      <c r="O90" s="11"/>
      <c r="Z90" s="11"/>
    </row>
    <row r="91">
      <c r="B91" s="48"/>
      <c r="D91" s="49"/>
      <c r="E91" s="50"/>
      <c r="H91" s="51"/>
      <c r="I91" s="52"/>
      <c r="K91" s="53"/>
      <c r="L91" s="32"/>
      <c r="O91" s="11"/>
      <c r="Z91" s="11"/>
    </row>
    <row r="92">
      <c r="B92" s="48"/>
      <c r="D92" s="49"/>
      <c r="E92" s="50"/>
      <c r="H92" s="51"/>
      <c r="I92" s="52"/>
      <c r="K92" s="53"/>
      <c r="L92" s="32"/>
      <c r="O92" s="11"/>
      <c r="Z92" s="11"/>
    </row>
    <row r="93">
      <c r="B93" s="48"/>
      <c r="D93" s="49"/>
      <c r="E93" s="50"/>
      <c r="H93" s="51"/>
      <c r="I93" s="52"/>
      <c r="K93" s="53"/>
      <c r="L93" s="32"/>
      <c r="O93" s="11"/>
      <c r="Z93" s="11"/>
    </row>
    <row r="94">
      <c r="B94" s="48"/>
      <c r="D94" s="49"/>
      <c r="E94" s="50"/>
      <c r="H94" s="51"/>
      <c r="I94" s="52"/>
      <c r="K94" s="53"/>
      <c r="L94" s="32"/>
      <c r="O94" s="11"/>
      <c r="Z94" s="11"/>
    </row>
    <row r="95">
      <c r="B95" s="48"/>
      <c r="D95" s="49"/>
      <c r="E95" s="50"/>
      <c r="H95" s="51"/>
      <c r="I95" s="52"/>
      <c r="K95" s="53"/>
      <c r="L95" s="32"/>
      <c r="O95" s="11"/>
      <c r="Z95" s="11"/>
    </row>
    <row r="96">
      <c r="B96" s="48"/>
      <c r="D96" s="49"/>
      <c r="E96" s="50"/>
      <c r="H96" s="51"/>
      <c r="I96" s="52"/>
      <c r="K96" s="53"/>
      <c r="L96" s="32"/>
      <c r="O96" s="11"/>
      <c r="Z96" s="11"/>
    </row>
    <row r="97">
      <c r="B97" s="48"/>
      <c r="D97" s="49"/>
      <c r="E97" s="50"/>
      <c r="H97" s="51"/>
      <c r="I97" s="52"/>
      <c r="K97" s="53"/>
      <c r="L97" s="32"/>
      <c r="O97" s="11"/>
      <c r="Z97" s="11"/>
    </row>
    <row r="98">
      <c r="B98" s="48"/>
      <c r="D98" s="49"/>
      <c r="E98" s="50"/>
      <c r="H98" s="51"/>
      <c r="I98" s="52"/>
      <c r="K98" s="53"/>
      <c r="L98" s="32"/>
      <c r="O98" s="11"/>
      <c r="Z98" s="11"/>
    </row>
    <row r="99">
      <c r="B99" s="48"/>
      <c r="D99" s="49"/>
      <c r="E99" s="50"/>
      <c r="H99" s="51"/>
      <c r="I99" s="52"/>
      <c r="K99" s="53"/>
      <c r="L99" s="32"/>
      <c r="O99" s="11"/>
      <c r="Z99" s="11"/>
    </row>
    <row r="100">
      <c r="B100" s="48"/>
      <c r="D100" s="49"/>
      <c r="E100" s="50"/>
      <c r="H100" s="51"/>
      <c r="I100" s="52"/>
      <c r="K100" s="53"/>
      <c r="L100" s="32"/>
      <c r="O100" s="11"/>
      <c r="Z100" s="11"/>
    </row>
    <row r="101">
      <c r="B101" s="48"/>
      <c r="D101" s="49"/>
      <c r="E101" s="50"/>
      <c r="H101" s="51"/>
      <c r="I101" s="52"/>
      <c r="K101" s="53"/>
      <c r="L101" s="32"/>
      <c r="O101" s="11"/>
      <c r="Z101" s="11"/>
    </row>
    <row r="102">
      <c r="B102" s="48"/>
      <c r="D102" s="49"/>
      <c r="E102" s="50"/>
      <c r="H102" s="51"/>
      <c r="I102" s="52"/>
      <c r="K102" s="53"/>
      <c r="L102" s="32"/>
      <c r="O102" s="11"/>
      <c r="Z102" s="11"/>
    </row>
    <row r="103">
      <c r="B103" s="48"/>
      <c r="D103" s="49"/>
      <c r="E103" s="50"/>
      <c r="H103" s="51"/>
      <c r="I103" s="52"/>
      <c r="K103" s="53"/>
      <c r="L103" s="32"/>
      <c r="O103" s="11"/>
      <c r="Z103" s="11"/>
    </row>
    <row r="104">
      <c r="B104" s="48"/>
      <c r="D104" s="49"/>
      <c r="E104" s="50"/>
      <c r="H104" s="51"/>
      <c r="I104" s="52"/>
      <c r="K104" s="53"/>
      <c r="L104" s="32"/>
      <c r="O104" s="11"/>
      <c r="Z104" s="11"/>
    </row>
    <row r="105">
      <c r="B105" s="48"/>
      <c r="D105" s="49"/>
      <c r="E105" s="50"/>
      <c r="H105" s="51"/>
      <c r="I105" s="52"/>
      <c r="K105" s="53"/>
      <c r="L105" s="32"/>
      <c r="O105" s="11"/>
      <c r="Z105" s="11"/>
    </row>
    <row r="106">
      <c r="B106" s="48"/>
      <c r="D106" s="49"/>
      <c r="E106" s="50"/>
      <c r="H106" s="51"/>
      <c r="I106" s="52"/>
      <c r="K106" s="53"/>
      <c r="L106" s="32"/>
      <c r="O106" s="11"/>
      <c r="Z106" s="11"/>
    </row>
    <row r="107">
      <c r="B107" s="48"/>
      <c r="D107" s="49"/>
      <c r="E107" s="50"/>
      <c r="H107" s="51"/>
      <c r="I107" s="52"/>
      <c r="K107" s="53"/>
      <c r="L107" s="32"/>
      <c r="O107" s="11"/>
      <c r="Z107" s="11"/>
    </row>
    <row r="108">
      <c r="B108" s="48"/>
      <c r="D108" s="49"/>
      <c r="E108" s="50"/>
      <c r="H108" s="51"/>
      <c r="I108" s="52"/>
      <c r="K108" s="53"/>
      <c r="L108" s="32"/>
      <c r="O108" s="11"/>
      <c r="Z108" s="11"/>
    </row>
    <row r="109">
      <c r="B109" s="48"/>
      <c r="D109" s="49"/>
      <c r="E109" s="50"/>
      <c r="H109" s="51"/>
      <c r="I109" s="52"/>
      <c r="K109" s="53"/>
      <c r="L109" s="32"/>
      <c r="O109" s="11"/>
      <c r="Z109" s="11"/>
    </row>
    <row r="110">
      <c r="B110" s="48"/>
      <c r="D110" s="49"/>
      <c r="E110" s="50"/>
      <c r="H110" s="51"/>
      <c r="I110" s="52"/>
      <c r="K110" s="53"/>
      <c r="L110" s="32"/>
      <c r="O110" s="11"/>
      <c r="Z110" s="11"/>
    </row>
    <row r="111">
      <c r="B111" s="48"/>
      <c r="D111" s="49"/>
      <c r="E111" s="50"/>
      <c r="H111" s="51"/>
      <c r="I111" s="52"/>
      <c r="K111" s="53"/>
      <c r="L111" s="32"/>
      <c r="O111" s="11"/>
      <c r="Z111" s="11"/>
    </row>
    <row r="112">
      <c r="B112" s="48"/>
      <c r="D112" s="49"/>
      <c r="E112" s="50"/>
      <c r="H112" s="51"/>
      <c r="I112" s="52"/>
      <c r="K112" s="53"/>
      <c r="L112" s="32"/>
      <c r="O112" s="11"/>
      <c r="Z112" s="11"/>
    </row>
    <row r="113">
      <c r="B113" s="48"/>
      <c r="D113" s="49"/>
      <c r="E113" s="50"/>
      <c r="H113" s="51"/>
      <c r="I113" s="52"/>
      <c r="K113" s="53"/>
      <c r="L113" s="32"/>
      <c r="O113" s="11"/>
      <c r="Z113" s="11"/>
    </row>
    <row r="114">
      <c r="B114" s="48"/>
      <c r="D114" s="49"/>
      <c r="E114" s="50"/>
      <c r="H114" s="51"/>
      <c r="I114" s="52"/>
      <c r="K114" s="53"/>
      <c r="L114" s="32"/>
      <c r="O114" s="11"/>
      <c r="Z114" s="11"/>
    </row>
    <row r="115">
      <c r="B115" s="48"/>
      <c r="D115" s="49"/>
      <c r="E115" s="50"/>
      <c r="H115" s="51"/>
      <c r="I115" s="52"/>
      <c r="K115" s="53"/>
      <c r="L115" s="32"/>
      <c r="O115" s="11"/>
      <c r="Z115" s="11"/>
    </row>
    <row r="116">
      <c r="B116" s="48"/>
      <c r="D116" s="49"/>
      <c r="E116" s="50"/>
      <c r="H116" s="51"/>
      <c r="I116" s="52"/>
      <c r="K116" s="53"/>
      <c r="L116" s="32"/>
      <c r="O116" s="11"/>
      <c r="Z116" s="11"/>
    </row>
    <row r="117">
      <c r="B117" s="48"/>
      <c r="D117" s="49"/>
      <c r="E117" s="50"/>
      <c r="H117" s="51"/>
      <c r="I117" s="52"/>
      <c r="K117" s="53"/>
      <c r="L117" s="32"/>
      <c r="O117" s="11"/>
      <c r="Z117" s="11"/>
    </row>
    <row r="118">
      <c r="B118" s="48"/>
      <c r="D118" s="49"/>
      <c r="E118" s="50"/>
      <c r="H118" s="51"/>
      <c r="I118" s="52"/>
      <c r="K118" s="53"/>
      <c r="L118" s="32"/>
      <c r="O118" s="11"/>
      <c r="Z118" s="11"/>
    </row>
    <row r="119">
      <c r="B119" s="48"/>
      <c r="D119" s="49"/>
      <c r="E119" s="50"/>
      <c r="H119" s="51"/>
      <c r="I119" s="52"/>
      <c r="K119" s="53"/>
      <c r="L119" s="32"/>
      <c r="O119" s="11"/>
      <c r="Z119" s="11"/>
    </row>
    <row r="120">
      <c r="B120" s="48"/>
      <c r="D120" s="49"/>
      <c r="E120" s="50"/>
      <c r="H120" s="51"/>
      <c r="I120" s="52"/>
      <c r="K120" s="53"/>
      <c r="L120" s="32"/>
      <c r="O120" s="11"/>
      <c r="Z120" s="11"/>
    </row>
    <row r="121">
      <c r="B121" s="48"/>
      <c r="D121" s="49"/>
      <c r="E121" s="50"/>
      <c r="H121" s="51"/>
      <c r="I121" s="52"/>
      <c r="K121" s="53"/>
      <c r="L121" s="32"/>
      <c r="O121" s="11"/>
      <c r="Z121" s="11"/>
    </row>
    <row r="122">
      <c r="B122" s="48"/>
      <c r="D122" s="49"/>
      <c r="E122" s="50"/>
      <c r="H122" s="51"/>
      <c r="I122" s="52"/>
      <c r="K122" s="53"/>
      <c r="L122" s="32"/>
      <c r="O122" s="11"/>
      <c r="Z122" s="11"/>
    </row>
    <row r="123">
      <c r="B123" s="48"/>
      <c r="D123" s="49"/>
      <c r="E123" s="50"/>
      <c r="H123" s="51"/>
      <c r="I123" s="52"/>
      <c r="K123" s="53"/>
      <c r="L123" s="32"/>
      <c r="O123" s="11"/>
      <c r="Z123" s="11"/>
    </row>
    <row r="124">
      <c r="B124" s="48"/>
      <c r="D124" s="49"/>
      <c r="E124" s="50"/>
      <c r="H124" s="51"/>
      <c r="I124" s="52"/>
      <c r="K124" s="53"/>
      <c r="L124" s="32"/>
      <c r="O124" s="11"/>
      <c r="Z124" s="11"/>
    </row>
    <row r="125">
      <c r="B125" s="48"/>
      <c r="D125" s="49"/>
      <c r="E125" s="50"/>
      <c r="H125" s="51"/>
      <c r="I125" s="52"/>
      <c r="K125" s="53"/>
      <c r="L125" s="32"/>
      <c r="O125" s="11"/>
      <c r="Z125" s="11"/>
    </row>
    <row r="126">
      <c r="B126" s="48"/>
      <c r="D126" s="49"/>
      <c r="E126" s="50"/>
      <c r="H126" s="51"/>
      <c r="I126" s="52"/>
      <c r="K126" s="53"/>
      <c r="L126" s="32"/>
      <c r="O126" s="11"/>
      <c r="Z126" s="11"/>
    </row>
    <row r="127">
      <c r="B127" s="48"/>
      <c r="D127" s="49"/>
      <c r="E127" s="50"/>
      <c r="H127" s="51"/>
      <c r="I127" s="52"/>
      <c r="K127" s="53"/>
      <c r="L127" s="32"/>
      <c r="O127" s="11"/>
      <c r="Z127" s="11"/>
    </row>
    <row r="128">
      <c r="B128" s="48"/>
      <c r="D128" s="49"/>
      <c r="E128" s="50"/>
      <c r="H128" s="51"/>
      <c r="I128" s="52"/>
      <c r="K128" s="53"/>
      <c r="L128" s="32"/>
      <c r="O128" s="11"/>
      <c r="Z128" s="11"/>
    </row>
    <row r="129">
      <c r="B129" s="48"/>
      <c r="D129" s="49"/>
      <c r="E129" s="50"/>
      <c r="H129" s="51"/>
      <c r="I129" s="52"/>
      <c r="K129" s="53"/>
      <c r="L129" s="32"/>
      <c r="O129" s="11"/>
      <c r="Z129" s="11"/>
    </row>
    <row r="130">
      <c r="B130" s="48"/>
      <c r="D130" s="49"/>
      <c r="E130" s="50"/>
      <c r="H130" s="51"/>
      <c r="I130" s="52"/>
      <c r="K130" s="53"/>
      <c r="L130" s="32"/>
      <c r="O130" s="11"/>
      <c r="Z130" s="11"/>
    </row>
    <row r="131">
      <c r="B131" s="48"/>
      <c r="D131" s="49"/>
      <c r="E131" s="50"/>
      <c r="H131" s="51"/>
      <c r="I131" s="52"/>
      <c r="K131" s="53"/>
      <c r="L131" s="32"/>
      <c r="O131" s="11"/>
      <c r="Z131" s="11"/>
    </row>
    <row r="132">
      <c r="B132" s="48"/>
      <c r="D132" s="49"/>
      <c r="E132" s="50"/>
      <c r="H132" s="51"/>
      <c r="I132" s="52"/>
      <c r="K132" s="53"/>
      <c r="L132" s="32"/>
      <c r="O132" s="11"/>
      <c r="Z132" s="11"/>
    </row>
    <row r="133">
      <c r="B133" s="48"/>
      <c r="D133" s="49"/>
      <c r="E133" s="50"/>
      <c r="H133" s="51"/>
      <c r="I133" s="52"/>
      <c r="K133" s="53"/>
      <c r="L133" s="32"/>
      <c r="O133" s="11"/>
      <c r="Z133" s="11"/>
    </row>
    <row r="134">
      <c r="B134" s="48"/>
      <c r="D134" s="49"/>
      <c r="E134" s="50"/>
      <c r="H134" s="51"/>
      <c r="I134" s="52"/>
      <c r="K134" s="53"/>
      <c r="L134" s="32"/>
      <c r="O134" s="11"/>
      <c r="Z134" s="11"/>
    </row>
    <row r="135">
      <c r="B135" s="48"/>
      <c r="D135" s="49"/>
      <c r="E135" s="50"/>
      <c r="H135" s="51"/>
      <c r="I135" s="52"/>
      <c r="K135" s="53"/>
      <c r="L135" s="32"/>
      <c r="O135" s="11"/>
      <c r="Z135" s="11"/>
    </row>
    <row r="136">
      <c r="B136" s="48"/>
      <c r="D136" s="49"/>
      <c r="E136" s="50"/>
      <c r="H136" s="51"/>
      <c r="I136" s="52"/>
      <c r="K136" s="53"/>
      <c r="L136" s="32"/>
      <c r="O136" s="11"/>
      <c r="Z136" s="11"/>
    </row>
    <row r="137">
      <c r="B137" s="48"/>
      <c r="D137" s="49"/>
      <c r="E137" s="50"/>
      <c r="H137" s="51"/>
      <c r="I137" s="52"/>
      <c r="K137" s="53"/>
      <c r="L137" s="32"/>
      <c r="O137" s="11"/>
      <c r="Z137" s="11"/>
    </row>
    <row r="138">
      <c r="B138" s="48"/>
      <c r="D138" s="49"/>
      <c r="E138" s="50"/>
      <c r="H138" s="51"/>
      <c r="I138" s="52"/>
      <c r="K138" s="53"/>
      <c r="L138" s="32"/>
      <c r="O138" s="11"/>
      <c r="Z138" s="11"/>
    </row>
    <row r="139">
      <c r="B139" s="48"/>
      <c r="D139" s="49"/>
      <c r="E139" s="50"/>
      <c r="H139" s="51"/>
      <c r="I139" s="52"/>
      <c r="K139" s="53"/>
      <c r="L139" s="32"/>
      <c r="O139" s="11"/>
      <c r="Z139" s="11"/>
    </row>
    <row r="140">
      <c r="B140" s="48"/>
      <c r="D140" s="49"/>
      <c r="E140" s="50"/>
      <c r="H140" s="51"/>
      <c r="I140" s="52"/>
      <c r="K140" s="53"/>
      <c r="L140" s="32"/>
      <c r="O140" s="11"/>
      <c r="Z140" s="11"/>
    </row>
    <row r="141">
      <c r="B141" s="48"/>
      <c r="D141" s="49"/>
      <c r="E141" s="50"/>
      <c r="H141" s="51"/>
      <c r="I141" s="52"/>
      <c r="K141" s="53"/>
      <c r="L141" s="32"/>
      <c r="O141" s="11"/>
      <c r="Z141" s="11"/>
    </row>
    <row r="142">
      <c r="B142" s="48"/>
      <c r="D142" s="49"/>
      <c r="E142" s="50"/>
      <c r="H142" s="51"/>
      <c r="I142" s="52"/>
      <c r="K142" s="53"/>
      <c r="L142" s="32"/>
      <c r="O142" s="11"/>
      <c r="Z142" s="11"/>
    </row>
    <row r="143">
      <c r="B143" s="48"/>
      <c r="D143" s="49"/>
      <c r="E143" s="50"/>
      <c r="H143" s="51"/>
      <c r="I143" s="52"/>
      <c r="K143" s="53"/>
      <c r="L143" s="32"/>
      <c r="O143" s="11"/>
      <c r="Z143" s="11"/>
    </row>
    <row r="144">
      <c r="B144" s="48"/>
      <c r="D144" s="49"/>
      <c r="E144" s="50"/>
      <c r="H144" s="51"/>
      <c r="I144" s="52"/>
      <c r="K144" s="53"/>
      <c r="L144" s="32"/>
      <c r="O144" s="11"/>
      <c r="Z144" s="11"/>
    </row>
    <row r="145">
      <c r="B145" s="48"/>
      <c r="D145" s="49"/>
      <c r="E145" s="50"/>
      <c r="H145" s="51"/>
      <c r="I145" s="52"/>
      <c r="K145" s="53"/>
      <c r="L145" s="32"/>
      <c r="O145" s="11"/>
      <c r="Z145" s="11"/>
    </row>
    <row r="146">
      <c r="B146" s="48"/>
      <c r="D146" s="49"/>
      <c r="E146" s="50"/>
      <c r="H146" s="51"/>
      <c r="I146" s="52"/>
      <c r="K146" s="53"/>
      <c r="L146" s="32"/>
      <c r="O146" s="11"/>
      <c r="Z146" s="11"/>
    </row>
    <row r="147">
      <c r="B147" s="48"/>
      <c r="D147" s="49"/>
      <c r="E147" s="50"/>
      <c r="H147" s="51"/>
      <c r="I147" s="52"/>
      <c r="K147" s="53"/>
      <c r="L147" s="32"/>
      <c r="O147" s="11"/>
      <c r="Z147" s="11"/>
    </row>
    <row r="148">
      <c r="B148" s="48"/>
      <c r="D148" s="49"/>
      <c r="E148" s="50"/>
      <c r="H148" s="51"/>
      <c r="I148" s="52"/>
      <c r="K148" s="53"/>
      <c r="L148" s="32"/>
      <c r="O148" s="11"/>
      <c r="Z148" s="11"/>
    </row>
    <row r="149">
      <c r="B149" s="48"/>
      <c r="D149" s="49"/>
      <c r="E149" s="50"/>
      <c r="H149" s="51"/>
      <c r="I149" s="52"/>
      <c r="K149" s="53"/>
      <c r="L149" s="32"/>
      <c r="O149" s="11"/>
      <c r="Z149" s="11"/>
    </row>
    <row r="150">
      <c r="B150" s="48"/>
      <c r="D150" s="49"/>
      <c r="E150" s="50"/>
      <c r="H150" s="51"/>
      <c r="I150" s="52"/>
      <c r="K150" s="53"/>
      <c r="L150" s="32"/>
      <c r="O150" s="11"/>
      <c r="Z150" s="11"/>
    </row>
    <row r="151">
      <c r="B151" s="48"/>
      <c r="D151" s="49"/>
      <c r="E151" s="50"/>
      <c r="H151" s="51"/>
      <c r="I151" s="52"/>
      <c r="K151" s="53"/>
      <c r="L151" s="32"/>
      <c r="O151" s="11"/>
      <c r="Z151" s="11"/>
    </row>
    <row r="152">
      <c r="B152" s="48"/>
      <c r="D152" s="49"/>
      <c r="E152" s="50"/>
      <c r="H152" s="51"/>
      <c r="I152" s="52"/>
      <c r="K152" s="53"/>
      <c r="L152" s="32"/>
      <c r="O152" s="11"/>
      <c r="Z152" s="11"/>
    </row>
    <row r="153">
      <c r="B153" s="48"/>
      <c r="D153" s="49"/>
      <c r="E153" s="50"/>
      <c r="H153" s="51"/>
      <c r="I153" s="52"/>
      <c r="K153" s="53"/>
      <c r="L153" s="32"/>
      <c r="O153" s="11"/>
      <c r="Z153" s="11"/>
    </row>
    <row r="154">
      <c r="B154" s="48"/>
      <c r="D154" s="49"/>
      <c r="E154" s="50"/>
      <c r="H154" s="51"/>
      <c r="I154" s="52"/>
      <c r="K154" s="53"/>
      <c r="L154" s="32"/>
      <c r="O154" s="11"/>
      <c r="Z154" s="11"/>
    </row>
    <row r="155">
      <c r="B155" s="48"/>
      <c r="D155" s="49"/>
      <c r="E155" s="50"/>
      <c r="H155" s="51"/>
      <c r="I155" s="52"/>
      <c r="K155" s="53"/>
      <c r="L155" s="32"/>
      <c r="O155" s="11"/>
      <c r="Z155" s="11"/>
    </row>
    <row r="156">
      <c r="B156" s="48"/>
      <c r="D156" s="49"/>
      <c r="E156" s="50"/>
      <c r="H156" s="51"/>
      <c r="I156" s="52"/>
      <c r="K156" s="53"/>
      <c r="L156" s="32"/>
      <c r="O156" s="11"/>
      <c r="Z156" s="11"/>
    </row>
    <row r="157">
      <c r="B157" s="48"/>
      <c r="D157" s="49"/>
      <c r="E157" s="50"/>
      <c r="H157" s="51"/>
      <c r="I157" s="52"/>
      <c r="K157" s="53"/>
      <c r="L157" s="32"/>
      <c r="O157" s="11"/>
      <c r="Z157" s="11"/>
    </row>
    <row r="158">
      <c r="B158" s="48"/>
      <c r="D158" s="49"/>
      <c r="E158" s="50"/>
      <c r="H158" s="51"/>
      <c r="I158" s="52"/>
      <c r="K158" s="53"/>
      <c r="L158" s="32"/>
      <c r="O158" s="11"/>
      <c r="Z158" s="11"/>
    </row>
    <row r="159">
      <c r="B159" s="48"/>
      <c r="D159" s="49"/>
      <c r="E159" s="50"/>
      <c r="H159" s="51"/>
      <c r="I159" s="52"/>
      <c r="K159" s="53"/>
      <c r="L159" s="32"/>
      <c r="O159" s="11"/>
      <c r="Z159" s="11"/>
    </row>
    <row r="160">
      <c r="B160" s="48"/>
      <c r="D160" s="49"/>
      <c r="E160" s="50"/>
      <c r="H160" s="51"/>
      <c r="I160" s="52"/>
      <c r="K160" s="53"/>
      <c r="L160" s="32"/>
      <c r="O160" s="11"/>
      <c r="Z160" s="11"/>
    </row>
    <row r="161">
      <c r="B161" s="48"/>
      <c r="D161" s="49"/>
      <c r="E161" s="50"/>
      <c r="H161" s="51"/>
      <c r="I161" s="52"/>
      <c r="K161" s="53"/>
      <c r="L161" s="32"/>
      <c r="O161" s="11"/>
      <c r="Z161" s="11"/>
    </row>
    <row r="162">
      <c r="B162" s="48"/>
      <c r="D162" s="49"/>
      <c r="E162" s="50"/>
      <c r="H162" s="51"/>
      <c r="I162" s="52"/>
      <c r="K162" s="53"/>
      <c r="L162" s="32"/>
      <c r="O162" s="11"/>
      <c r="Z162" s="11"/>
    </row>
    <row r="163">
      <c r="B163" s="48"/>
      <c r="D163" s="49"/>
      <c r="E163" s="50"/>
      <c r="H163" s="51"/>
      <c r="I163" s="52"/>
      <c r="K163" s="53"/>
      <c r="L163" s="32"/>
      <c r="O163" s="11"/>
      <c r="Z163" s="11"/>
    </row>
    <row r="164">
      <c r="B164" s="48"/>
      <c r="D164" s="49"/>
      <c r="E164" s="50"/>
      <c r="H164" s="51"/>
      <c r="I164" s="52"/>
      <c r="K164" s="53"/>
      <c r="L164" s="32"/>
      <c r="O164" s="11"/>
      <c r="Z164" s="11"/>
    </row>
    <row r="165">
      <c r="B165" s="48"/>
      <c r="D165" s="49"/>
      <c r="E165" s="50"/>
      <c r="H165" s="51"/>
      <c r="I165" s="52"/>
      <c r="K165" s="53"/>
      <c r="L165" s="32"/>
      <c r="O165" s="11"/>
      <c r="Z165" s="11"/>
    </row>
    <row r="166">
      <c r="B166" s="48"/>
      <c r="D166" s="49"/>
      <c r="E166" s="50"/>
      <c r="H166" s="51"/>
      <c r="I166" s="52"/>
      <c r="K166" s="53"/>
      <c r="L166" s="32"/>
      <c r="O166" s="11"/>
      <c r="Z166" s="11"/>
    </row>
    <row r="167">
      <c r="B167" s="48"/>
      <c r="D167" s="49"/>
      <c r="E167" s="50"/>
      <c r="H167" s="51"/>
      <c r="I167" s="52"/>
      <c r="K167" s="53"/>
      <c r="L167" s="32"/>
      <c r="O167" s="11"/>
      <c r="Z167" s="11"/>
    </row>
    <row r="168">
      <c r="B168" s="48"/>
      <c r="D168" s="49"/>
      <c r="E168" s="50"/>
      <c r="H168" s="51"/>
      <c r="I168" s="52"/>
      <c r="K168" s="53"/>
      <c r="L168" s="32"/>
      <c r="O168" s="11"/>
      <c r="Z168" s="11"/>
    </row>
    <row r="169">
      <c r="B169" s="48"/>
      <c r="D169" s="49"/>
      <c r="E169" s="50"/>
      <c r="H169" s="51"/>
      <c r="I169" s="52"/>
      <c r="K169" s="53"/>
      <c r="L169" s="32"/>
      <c r="O169" s="11"/>
      <c r="Z169" s="11"/>
    </row>
    <row r="170">
      <c r="B170" s="48"/>
      <c r="D170" s="49"/>
      <c r="E170" s="50"/>
      <c r="H170" s="51"/>
      <c r="I170" s="52"/>
      <c r="K170" s="53"/>
      <c r="L170" s="32"/>
      <c r="O170" s="11"/>
      <c r="Z170" s="11"/>
    </row>
    <row r="171">
      <c r="B171" s="48"/>
      <c r="D171" s="49"/>
      <c r="E171" s="50"/>
      <c r="H171" s="51"/>
      <c r="I171" s="52"/>
      <c r="K171" s="53"/>
      <c r="L171" s="32"/>
      <c r="O171" s="11"/>
      <c r="Z171" s="11"/>
    </row>
    <row r="172">
      <c r="B172" s="48"/>
      <c r="D172" s="49"/>
      <c r="E172" s="50"/>
      <c r="H172" s="51"/>
      <c r="I172" s="52"/>
      <c r="K172" s="53"/>
      <c r="L172" s="32"/>
      <c r="O172" s="11"/>
      <c r="Z172" s="11"/>
    </row>
    <row r="173">
      <c r="B173" s="48"/>
      <c r="D173" s="49"/>
      <c r="E173" s="50"/>
      <c r="H173" s="51"/>
      <c r="I173" s="52"/>
      <c r="K173" s="53"/>
      <c r="L173" s="32"/>
      <c r="O173" s="11"/>
      <c r="Z173" s="11"/>
    </row>
    <row r="174">
      <c r="B174" s="48"/>
      <c r="D174" s="49"/>
      <c r="E174" s="50"/>
      <c r="H174" s="51"/>
      <c r="I174" s="52"/>
      <c r="K174" s="53"/>
      <c r="L174" s="32"/>
      <c r="O174" s="11"/>
      <c r="Z174" s="11"/>
    </row>
    <row r="175">
      <c r="B175" s="48"/>
      <c r="D175" s="49"/>
      <c r="E175" s="50"/>
      <c r="H175" s="51"/>
      <c r="I175" s="52"/>
      <c r="K175" s="53"/>
      <c r="L175" s="32"/>
      <c r="O175" s="11"/>
      <c r="Z175" s="11"/>
    </row>
    <row r="176">
      <c r="B176" s="48"/>
      <c r="D176" s="49"/>
      <c r="E176" s="50"/>
      <c r="H176" s="51"/>
      <c r="I176" s="52"/>
      <c r="K176" s="53"/>
      <c r="L176" s="32"/>
      <c r="O176" s="11"/>
      <c r="Z176" s="11"/>
    </row>
    <row r="177">
      <c r="B177" s="48"/>
      <c r="D177" s="49"/>
      <c r="E177" s="50"/>
      <c r="H177" s="51"/>
      <c r="I177" s="52"/>
      <c r="K177" s="53"/>
      <c r="L177" s="32"/>
      <c r="O177" s="11"/>
      <c r="Z177" s="11"/>
    </row>
    <row r="178">
      <c r="B178" s="48"/>
      <c r="D178" s="49"/>
      <c r="E178" s="50"/>
      <c r="H178" s="51"/>
      <c r="I178" s="52"/>
      <c r="K178" s="53"/>
      <c r="L178" s="32"/>
      <c r="O178" s="11"/>
      <c r="Z178" s="11"/>
    </row>
    <row r="179">
      <c r="B179" s="48"/>
      <c r="D179" s="49"/>
      <c r="E179" s="50"/>
      <c r="H179" s="51"/>
      <c r="I179" s="52"/>
      <c r="K179" s="53"/>
      <c r="L179" s="32"/>
      <c r="O179" s="11"/>
      <c r="Z179" s="11"/>
    </row>
    <row r="180">
      <c r="B180" s="48"/>
      <c r="D180" s="49"/>
      <c r="E180" s="50"/>
      <c r="H180" s="51"/>
      <c r="I180" s="52"/>
      <c r="K180" s="53"/>
      <c r="L180" s="32"/>
      <c r="O180" s="11"/>
      <c r="Z180" s="11"/>
    </row>
    <row r="181">
      <c r="B181" s="48"/>
      <c r="D181" s="49"/>
      <c r="E181" s="50"/>
      <c r="H181" s="51"/>
      <c r="I181" s="52"/>
      <c r="K181" s="53"/>
      <c r="L181" s="32"/>
      <c r="O181" s="11"/>
      <c r="Z181" s="11"/>
    </row>
    <row r="182">
      <c r="B182" s="48"/>
      <c r="D182" s="49"/>
      <c r="E182" s="50"/>
      <c r="H182" s="51"/>
      <c r="I182" s="52"/>
      <c r="K182" s="53"/>
      <c r="L182" s="32"/>
      <c r="O182" s="11"/>
      <c r="Z182" s="11"/>
    </row>
    <row r="183">
      <c r="B183" s="48"/>
      <c r="D183" s="49"/>
      <c r="E183" s="50"/>
      <c r="H183" s="51"/>
      <c r="I183" s="52"/>
      <c r="K183" s="53"/>
      <c r="L183" s="32"/>
      <c r="O183" s="11"/>
      <c r="Z183" s="11"/>
    </row>
    <row r="184">
      <c r="B184" s="48"/>
      <c r="D184" s="49"/>
      <c r="E184" s="50"/>
      <c r="H184" s="51"/>
      <c r="I184" s="52"/>
      <c r="K184" s="53"/>
      <c r="L184" s="32"/>
      <c r="O184" s="11"/>
      <c r="Z184" s="11"/>
    </row>
    <row r="185">
      <c r="B185" s="48"/>
      <c r="D185" s="49"/>
      <c r="E185" s="50"/>
      <c r="H185" s="51"/>
      <c r="I185" s="52"/>
      <c r="K185" s="53"/>
      <c r="L185" s="32"/>
      <c r="O185" s="11"/>
      <c r="Z185" s="11"/>
    </row>
    <row r="186">
      <c r="B186" s="48"/>
      <c r="D186" s="49"/>
      <c r="E186" s="50"/>
      <c r="H186" s="51"/>
      <c r="I186" s="52"/>
      <c r="K186" s="53"/>
      <c r="L186" s="32"/>
      <c r="O186" s="11"/>
      <c r="Z186" s="11"/>
    </row>
    <row r="187">
      <c r="B187" s="48"/>
      <c r="D187" s="49"/>
      <c r="E187" s="50"/>
      <c r="H187" s="51"/>
      <c r="I187" s="52"/>
      <c r="K187" s="53"/>
      <c r="L187" s="32"/>
      <c r="O187" s="11"/>
      <c r="Z187" s="11"/>
    </row>
    <row r="188">
      <c r="B188" s="48"/>
      <c r="D188" s="49"/>
      <c r="E188" s="50"/>
      <c r="H188" s="51"/>
      <c r="I188" s="52"/>
      <c r="K188" s="53"/>
      <c r="L188" s="32"/>
      <c r="O188" s="11"/>
      <c r="Z188" s="11"/>
    </row>
    <row r="189">
      <c r="B189" s="48"/>
      <c r="D189" s="49"/>
      <c r="E189" s="50"/>
      <c r="H189" s="51"/>
      <c r="I189" s="52"/>
      <c r="K189" s="53"/>
      <c r="L189" s="32"/>
      <c r="O189" s="11"/>
      <c r="Z189" s="11"/>
    </row>
    <row r="190">
      <c r="B190" s="48"/>
      <c r="D190" s="49"/>
      <c r="E190" s="50"/>
      <c r="H190" s="51"/>
      <c r="I190" s="52"/>
      <c r="K190" s="53"/>
      <c r="L190" s="32"/>
      <c r="O190" s="11"/>
      <c r="Z190" s="11"/>
    </row>
    <row r="191">
      <c r="B191" s="48"/>
      <c r="D191" s="49"/>
      <c r="E191" s="50"/>
      <c r="H191" s="51"/>
      <c r="I191" s="52"/>
      <c r="K191" s="53"/>
      <c r="L191" s="32"/>
      <c r="O191" s="11"/>
      <c r="Z191" s="11"/>
    </row>
    <row r="192">
      <c r="B192" s="48"/>
      <c r="D192" s="49"/>
      <c r="E192" s="50"/>
      <c r="H192" s="51"/>
      <c r="I192" s="52"/>
      <c r="K192" s="53"/>
      <c r="L192" s="32"/>
      <c r="O192" s="11"/>
      <c r="Z192" s="11"/>
    </row>
    <row r="193">
      <c r="B193" s="48"/>
      <c r="D193" s="49"/>
      <c r="E193" s="50"/>
      <c r="H193" s="51"/>
      <c r="I193" s="52"/>
      <c r="K193" s="53"/>
      <c r="L193" s="32"/>
      <c r="O193" s="11"/>
      <c r="Z193" s="11"/>
    </row>
    <row r="194">
      <c r="B194" s="48"/>
      <c r="D194" s="49"/>
      <c r="E194" s="50"/>
      <c r="H194" s="51"/>
      <c r="I194" s="52"/>
      <c r="K194" s="53"/>
      <c r="L194" s="32"/>
      <c r="O194" s="11"/>
      <c r="Z194" s="11"/>
    </row>
    <row r="195">
      <c r="B195" s="48"/>
      <c r="D195" s="49"/>
      <c r="E195" s="50"/>
      <c r="H195" s="51"/>
      <c r="I195" s="52"/>
      <c r="K195" s="53"/>
      <c r="L195" s="32"/>
      <c r="O195" s="11"/>
      <c r="Z195" s="11"/>
    </row>
    <row r="196">
      <c r="B196" s="48"/>
      <c r="D196" s="49"/>
      <c r="E196" s="50"/>
      <c r="H196" s="51"/>
      <c r="I196" s="52"/>
      <c r="K196" s="53"/>
      <c r="L196" s="32"/>
      <c r="O196" s="11"/>
      <c r="Z196" s="11"/>
    </row>
    <row r="197">
      <c r="B197" s="48"/>
      <c r="D197" s="49"/>
      <c r="E197" s="50"/>
      <c r="H197" s="51"/>
      <c r="I197" s="52"/>
      <c r="K197" s="53"/>
      <c r="L197" s="32"/>
      <c r="O197" s="11"/>
      <c r="Z197" s="11"/>
    </row>
    <row r="198">
      <c r="B198" s="48"/>
      <c r="D198" s="49"/>
      <c r="E198" s="50"/>
      <c r="H198" s="51"/>
      <c r="I198" s="52"/>
      <c r="K198" s="53"/>
      <c r="L198" s="32"/>
      <c r="O198" s="11"/>
      <c r="Z198" s="11"/>
    </row>
    <row r="199">
      <c r="B199" s="48"/>
      <c r="D199" s="49"/>
      <c r="E199" s="50"/>
      <c r="H199" s="51"/>
      <c r="I199" s="52"/>
      <c r="K199" s="53"/>
      <c r="L199" s="32"/>
      <c r="O199" s="11"/>
      <c r="Z199" s="11"/>
    </row>
    <row r="200">
      <c r="B200" s="48"/>
      <c r="D200" s="49"/>
      <c r="E200" s="50"/>
      <c r="H200" s="51"/>
      <c r="I200" s="52"/>
      <c r="K200" s="53"/>
      <c r="L200" s="32"/>
      <c r="O200" s="11"/>
      <c r="Z200" s="11"/>
    </row>
    <row r="201">
      <c r="B201" s="48"/>
      <c r="D201" s="49"/>
      <c r="E201" s="50"/>
      <c r="H201" s="51"/>
      <c r="I201" s="52"/>
      <c r="K201" s="53"/>
      <c r="L201" s="32"/>
      <c r="O201" s="11"/>
      <c r="Z201" s="11"/>
    </row>
    <row r="202">
      <c r="B202" s="48"/>
      <c r="D202" s="49"/>
      <c r="E202" s="50"/>
      <c r="H202" s="51"/>
      <c r="I202" s="52"/>
      <c r="K202" s="53"/>
      <c r="L202" s="32"/>
      <c r="O202" s="11"/>
      <c r="Z202" s="11"/>
    </row>
    <row r="203">
      <c r="B203" s="48"/>
      <c r="D203" s="49"/>
      <c r="E203" s="50"/>
      <c r="H203" s="51"/>
      <c r="I203" s="52"/>
      <c r="K203" s="53"/>
      <c r="L203" s="32"/>
      <c r="O203" s="11"/>
      <c r="Z203" s="11"/>
    </row>
    <row r="204">
      <c r="B204" s="48"/>
      <c r="D204" s="49"/>
      <c r="E204" s="50"/>
      <c r="H204" s="51"/>
      <c r="I204" s="52"/>
      <c r="K204" s="53"/>
      <c r="L204" s="32"/>
      <c r="O204" s="11"/>
      <c r="Z204" s="11"/>
    </row>
    <row r="205">
      <c r="B205" s="48"/>
      <c r="D205" s="49"/>
      <c r="E205" s="50"/>
      <c r="H205" s="51"/>
      <c r="I205" s="52"/>
      <c r="K205" s="53"/>
      <c r="L205" s="32"/>
      <c r="O205" s="11"/>
      <c r="Z205" s="11"/>
    </row>
    <row r="206">
      <c r="B206" s="48"/>
      <c r="D206" s="49"/>
      <c r="E206" s="50"/>
      <c r="H206" s="51"/>
      <c r="I206" s="52"/>
      <c r="K206" s="53"/>
      <c r="L206" s="32"/>
      <c r="O206" s="11"/>
      <c r="Z206" s="11"/>
    </row>
    <row r="207">
      <c r="B207" s="48"/>
      <c r="D207" s="49"/>
      <c r="E207" s="50"/>
      <c r="H207" s="51"/>
      <c r="I207" s="52"/>
      <c r="K207" s="53"/>
      <c r="L207" s="32"/>
      <c r="O207" s="11"/>
      <c r="Z207" s="11"/>
    </row>
    <row r="208">
      <c r="B208" s="48"/>
      <c r="D208" s="49"/>
      <c r="E208" s="50"/>
      <c r="H208" s="51"/>
      <c r="I208" s="52"/>
      <c r="K208" s="53"/>
      <c r="L208" s="32"/>
      <c r="O208" s="11"/>
      <c r="Z208" s="11"/>
    </row>
    <row r="209">
      <c r="B209" s="48"/>
      <c r="D209" s="49"/>
      <c r="E209" s="50"/>
      <c r="H209" s="51"/>
      <c r="I209" s="52"/>
      <c r="K209" s="53"/>
      <c r="L209" s="32"/>
      <c r="O209" s="11"/>
      <c r="Z209" s="11"/>
    </row>
    <row r="210">
      <c r="B210" s="48"/>
      <c r="D210" s="49"/>
      <c r="E210" s="50"/>
      <c r="H210" s="51"/>
      <c r="I210" s="52"/>
      <c r="K210" s="53"/>
      <c r="L210" s="32"/>
      <c r="O210" s="11"/>
      <c r="Z210" s="11"/>
    </row>
    <row r="211">
      <c r="B211" s="48"/>
      <c r="D211" s="49"/>
      <c r="E211" s="50"/>
      <c r="H211" s="51"/>
      <c r="I211" s="52"/>
      <c r="K211" s="53"/>
      <c r="L211" s="32"/>
      <c r="O211" s="11"/>
      <c r="Z211" s="11"/>
    </row>
    <row r="212">
      <c r="B212" s="48"/>
      <c r="D212" s="49"/>
      <c r="E212" s="50"/>
      <c r="H212" s="51"/>
      <c r="I212" s="52"/>
      <c r="K212" s="53"/>
      <c r="L212" s="32"/>
      <c r="O212" s="11"/>
      <c r="Z212" s="11"/>
    </row>
    <row r="213">
      <c r="B213" s="48"/>
      <c r="D213" s="49"/>
      <c r="E213" s="50"/>
      <c r="H213" s="51"/>
      <c r="I213" s="52"/>
      <c r="K213" s="53"/>
      <c r="L213" s="32"/>
      <c r="O213" s="11"/>
      <c r="Z213" s="11"/>
    </row>
    <row r="214">
      <c r="B214" s="48"/>
      <c r="D214" s="49"/>
      <c r="E214" s="50"/>
      <c r="H214" s="51"/>
      <c r="I214" s="52"/>
      <c r="K214" s="53"/>
      <c r="L214" s="32"/>
      <c r="O214" s="11"/>
      <c r="Z214" s="11"/>
    </row>
    <row r="215">
      <c r="B215" s="48"/>
      <c r="D215" s="49"/>
      <c r="E215" s="50"/>
      <c r="H215" s="51"/>
      <c r="I215" s="52"/>
      <c r="K215" s="53"/>
      <c r="L215" s="32"/>
      <c r="O215" s="11"/>
      <c r="Z215" s="11"/>
    </row>
    <row r="216">
      <c r="B216" s="48"/>
      <c r="D216" s="49"/>
      <c r="E216" s="50"/>
      <c r="H216" s="51"/>
      <c r="I216" s="52"/>
      <c r="K216" s="53"/>
      <c r="L216" s="32"/>
      <c r="O216" s="11"/>
      <c r="Z216" s="11"/>
    </row>
    <row r="217">
      <c r="B217" s="48"/>
      <c r="D217" s="49"/>
      <c r="E217" s="50"/>
      <c r="H217" s="51"/>
      <c r="I217" s="52"/>
      <c r="K217" s="53"/>
      <c r="L217" s="32"/>
      <c r="O217" s="11"/>
      <c r="Z217" s="11"/>
    </row>
    <row r="218">
      <c r="B218" s="48"/>
      <c r="D218" s="49"/>
      <c r="E218" s="50"/>
      <c r="H218" s="51"/>
      <c r="I218" s="52"/>
      <c r="K218" s="53"/>
      <c r="L218" s="32"/>
      <c r="O218" s="11"/>
      <c r="Z218" s="11"/>
    </row>
    <row r="219">
      <c r="B219" s="48"/>
      <c r="D219" s="49"/>
      <c r="E219" s="50"/>
      <c r="H219" s="51"/>
      <c r="I219" s="52"/>
      <c r="K219" s="53"/>
      <c r="L219" s="32"/>
      <c r="O219" s="11"/>
      <c r="Z219" s="11"/>
    </row>
    <row r="220">
      <c r="B220" s="48"/>
      <c r="D220" s="49"/>
      <c r="E220" s="50"/>
      <c r="H220" s="51"/>
      <c r="I220" s="52"/>
      <c r="K220" s="53"/>
      <c r="L220" s="32"/>
      <c r="O220" s="11"/>
      <c r="Z220" s="11"/>
    </row>
    <row r="221">
      <c r="B221" s="48"/>
      <c r="D221" s="49"/>
      <c r="E221" s="50"/>
      <c r="H221" s="51"/>
      <c r="I221" s="52"/>
      <c r="K221" s="53"/>
      <c r="L221" s="32"/>
      <c r="O221" s="11"/>
      <c r="Z221" s="11"/>
    </row>
    <row r="222">
      <c r="B222" s="48"/>
      <c r="D222" s="49"/>
      <c r="E222" s="50"/>
      <c r="H222" s="51"/>
      <c r="I222" s="52"/>
      <c r="K222" s="53"/>
      <c r="L222" s="32"/>
      <c r="O222" s="11"/>
      <c r="Z222" s="11"/>
    </row>
    <row r="223">
      <c r="B223" s="48"/>
      <c r="D223" s="49"/>
      <c r="E223" s="50"/>
      <c r="H223" s="51"/>
      <c r="I223" s="52"/>
      <c r="K223" s="53"/>
      <c r="L223" s="32"/>
      <c r="O223" s="11"/>
      <c r="Z223" s="11"/>
    </row>
    <row r="224">
      <c r="B224" s="48"/>
      <c r="D224" s="49"/>
      <c r="E224" s="50"/>
      <c r="H224" s="51"/>
      <c r="I224" s="52"/>
      <c r="K224" s="53"/>
      <c r="L224" s="32"/>
      <c r="O224" s="11"/>
      <c r="Z224" s="11"/>
    </row>
    <row r="225">
      <c r="B225" s="48"/>
      <c r="D225" s="49"/>
      <c r="E225" s="50"/>
      <c r="H225" s="51"/>
      <c r="I225" s="52"/>
      <c r="K225" s="53"/>
      <c r="L225" s="32"/>
      <c r="O225" s="11"/>
      <c r="Z225" s="11"/>
    </row>
    <row r="226">
      <c r="B226" s="48"/>
      <c r="D226" s="49"/>
      <c r="E226" s="50"/>
      <c r="H226" s="51"/>
      <c r="I226" s="52"/>
      <c r="K226" s="53"/>
      <c r="L226" s="32"/>
      <c r="O226" s="11"/>
      <c r="Z226" s="11"/>
    </row>
    <row r="227">
      <c r="B227" s="48"/>
      <c r="D227" s="49"/>
      <c r="E227" s="50"/>
      <c r="H227" s="51"/>
      <c r="I227" s="52"/>
      <c r="K227" s="53"/>
      <c r="L227" s="32"/>
      <c r="O227" s="11"/>
      <c r="Z227" s="11"/>
    </row>
    <row r="228">
      <c r="B228" s="48"/>
      <c r="D228" s="49"/>
      <c r="E228" s="50"/>
      <c r="H228" s="51"/>
      <c r="I228" s="52"/>
      <c r="K228" s="53"/>
      <c r="L228" s="32"/>
      <c r="O228" s="11"/>
      <c r="Z228" s="11"/>
    </row>
    <row r="229">
      <c r="B229" s="48"/>
      <c r="D229" s="49"/>
      <c r="E229" s="50"/>
      <c r="H229" s="51"/>
      <c r="I229" s="52"/>
      <c r="K229" s="53"/>
      <c r="L229" s="32"/>
      <c r="O229" s="11"/>
      <c r="Z229" s="11"/>
    </row>
    <row r="230">
      <c r="B230" s="48"/>
      <c r="D230" s="49"/>
      <c r="E230" s="50"/>
      <c r="H230" s="51"/>
      <c r="I230" s="52"/>
      <c r="K230" s="53"/>
      <c r="L230" s="32"/>
      <c r="O230" s="11"/>
      <c r="Z230" s="11"/>
    </row>
    <row r="231">
      <c r="B231" s="48"/>
      <c r="D231" s="49"/>
      <c r="E231" s="50"/>
      <c r="H231" s="51"/>
      <c r="I231" s="52"/>
      <c r="K231" s="53"/>
      <c r="L231" s="32"/>
      <c r="O231" s="11"/>
      <c r="Z231" s="11"/>
    </row>
    <row r="232">
      <c r="B232" s="48"/>
      <c r="D232" s="49"/>
      <c r="E232" s="50"/>
      <c r="H232" s="51"/>
      <c r="I232" s="52"/>
      <c r="K232" s="53"/>
      <c r="L232" s="32"/>
      <c r="O232" s="11"/>
      <c r="Z232" s="11"/>
    </row>
    <row r="233">
      <c r="B233" s="48"/>
      <c r="D233" s="49"/>
      <c r="E233" s="50"/>
      <c r="H233" s="51"/>
      <c r="I233" s="52"/>
      <c r="K233" s="53"/>
      <c r="L233" s="32"/>
      <c r="O233" s="11"/>
      <c r="Z233" s="11"/>
    </row>
    <row r="234">
      <c r="B234" s="48"/>
      <c r="D234" s="49"/>
      <c r="E234" s="50"/>
      <c r="H234" s="51"/>
      <c r="I234" s="52"/>
      <c r="K234" s="53"/>
      <c r="L234" s="32"/>
      <c r="O234" s="11"/>
      <c r="Z234" s="11"/>
    </row>
    <row r="235">
      <c r="B235" s="48"/>
      <c r="D235" s="49"/>
      <c r="E235" s="50"/>
      <c r="H235" s="51"/>
      <c r="I235" s="52"/>
      <c r="K235" s="53"/>
      <c r="L235" s="32"/>
      <c r="O235" s="11"/>
      <c r="Z235" s="11"/>
    </row>
    <row r="236">
      <c r="B236" s="48"/>
      <c r="D236" s="49"/>
      <c r="E236" s="50"/>
      <c r="H236" s="51"/>
      <c r="I236" s="52"/>
      <c r="K236" s="53"/>
      <c r="L236" s="32"/>
      <c r="O236" s="11"/>
      <c r="Z236" s="11"/>
    </row>
    <row r="237">
      <c r="B237" s="48"/>
      <c r="D237" s="49"/>
      <c r="E237" s="50"/>
      <c r="H237" s="51"/>
      <c r="I237" s="52"/>
      <c r="K237" s="53"/>
      <c r="L237" s="32"/>
      <c r="O237" s="11"/>
      <c r="Z237" s="11"/>
    </row>
    <row r="238">
      <c r="B238" s="48"/>
      <c r="D238" s="49"/>
      <c r="E238" s="50"/>
      <c r="H238" s="51"/>
      <c r="I238" s="52"/>
      <c r="K238" s="53"/>
      <c r="L238" s="32"/>
      <c r="O238" s="11"/>
      <c r="Z238" s="11"/>
    </row>
    <row r="239">
      <c r="B239" s="48"/>
      <c r="D239" s="49"/>
      <c r="E239" s="50"/>
      <c r="H239" s="51"/>
      <c r="I239" s="52"/>
      <c r="K239" s="53"/>
      <c r="L239" s="32"/>
      <c r="O239" s="11"/>
      <c r="Z239" s="11"/>
    </row>
    <row r="240">
      <c r="B240" s="48"/>
      <c r="D240" s="49"/>
      <c r="E240" s="50"/>
      <c r="H240" s="51"/>
      <c r="I240" s="52"/>
      <c r="K240" s="53"/>
      <c r="L240" s="32"/>
      <c r="O240" s="11"/>
      <c r="Z240" s="11"/>
    </row>
    <row r="241">
      <c r="B241" s="48"/>
      <c r="D241" s="49"/>
      <c r="E241" s="50"/>
      <c r="H241" s="51"/>
      <c r="I241" s="52"/>
      <c r="K241" s="53"/>
      <c r="L241" s="32"/>
      <c r="O241" s="11"/>
      <c r="Z241" s="11"/>
    </row>
    <row r="242">
      <c r="B242" s="48"/>
      <c r="D242" s="49"/>
      <c r="E242" s="50"/>
      <c r="H242" s="51"/>
      <c r="I242" s="52"/>
      <c r="K242" s="53"/>
      <c r="L242" s="32"/>
      <c r="O242" s="11"/>
      <c r="Z242" s="11"/>
    </row>
    <row r="243">
      <c r="B243" s="48"/>
      <c r="D243" s="49"/>
      <c r="E243" s="50"/>
      <c r="H243" s="51"/>
      <c r="I243" s="52"/>
      <c r="K243" s="53"/>
      <c r="L243" s="32"/>
      <c r="O243" s="11"/>
      <c r="Z243" s="11"/>
    </row>
    <row r="244">
      <c r="B244" s="48"/>
      <c r="D244" s="49"/>
      <c r="E244" s="50"/>
      <c r="H244" s="51"/>
      <c r="I244" s="52"/>
      <c r="K244" s="53"/>
      <c r="L244" s="32"/>
      <c r="O244" s="11"/>
      <c r="Z244" s="11"/>
    </row>
    <row r="245">
      <c r="B245" s="48"/>
      <c r="D245" s="49"/>
      <c r="E245" s="50"/>
      <c r="H245" s="51"/>
      <c r="I245" s="52"/>
      <c r="K245" s="53"/>
      <c r="L245" s="32"/>
      <c r="O245" s="11"/>
      <c r="Z245" s="11"/>
    </row>
    <row r="246">
      <c r="B246" s="48"/>
      <c r="D246" s="49"/>
      <c r="E246" s="50"/>
      <c r="H246" s="51"/>
      <c r="I246" s="52"/>
      <c r="K246" s="53"/>
      <c r="L246" s="32"/>
      <c r="O246" s="11"/>
      <c r="Z246" s="11"/>
    </row>
    <row r="247">
      <c r="B247" s="48"/>
      <c r="D247" s="49"/>
      <c r="E247" s="50"/>
      <c r="H247" s="51"/>
      <c r="I247" s="52"/>
      <c r="K247" s="53"/>
      <c r="L247" s="32"/>
      <c r="O247" s="11"/>
      <c r="Z247" s="11"/>
    </row>
    <row r="248">
      <c r="B248" s="48"/>
      <c r="D248" s="49"/>
      <c r="E248" s="50"/>
      <c r="H248" s="51"/>
      <c r="I248" s="52"/>
      <c r="K248" s="53"/>
      <c r="L248" s="32"/>
      <c r="O248" s="11"/>
      <c r="Z248" s="11"/>
    </row>
    <row r="249">
      <c r="B249" s="48"/>
      <c r="D249" s="49"/>
      <c r="E249" s="50"/>
      <c r="H249" s="51"/>
      <c r="I249" s="52"/>
      <c r="K249" s="53"/>
      <c r="L249" s="32"/>
      <c r="O249" s="11"/>
      <c r="Z249" s="11"/>
    </row>
    <row r="250">
      <c r="B250" s="48"/>
      <c r="D250" s="49"/>
      <c r="E250" s="50"/>
      <c r="H250" s="51"/>
      <c r="I250" s="52"/>
      <c r="K250" s="53"/>
      <c r="L250" s="32"/>
      <c r="O250" s="11"/>
      <c r="Z250" s="11"/>
    </row>
    <row r="251">
      <c r="B251" s="48"/>
      <c r="D251" s="49"/>
      <c r="E251" s="50"/>
      <c r="H251" s="51"/>
      <c r="I251" s="52"/>
      <c r="K251" s="53"/>
      <c r="L251" s="32"/>
      <c r="O251" s="11"/>
      <c r="Z251" s="11"/>
    </row>
    <row r="252">
      <c r="B252" s="48"/>
      <c r="D252" s="49"/>
      <c r="E252" s="50"/>
      <c r="H252" s="51"/>
      <c r="I252" s="52"/>
      <c r="K252" s="53"/>
      <c r="L252" s="32"/>
      <c r="O252" s="11"/>
      <c r="Z252" s="11"/>
    </row>
    <row r="253">
      <c r="B253" s="48"/>
      <c r="D253" s="49"/>
      <c r="E253" s="50"/>
      <c r="H253" s="51"/>
      <c r="I253" s="52"/>
      <c r="K253" s="53"/>
      <c r="L253" s="32"/>
      <c r="O253" s="11"/>
      <c r="Z253" s="11"/>
    </row>
    <row r="254">
      <c r="B254" s="48"/>
      <c r="D254" s="49"/>
      <c r="E254" s="50"/>
      <c r="H254" s="51"/>
      <c r="I254" s="52"/>
      <c r="K254" s="53"/>
      <c r="L254" s="32"/>
      <c r="O254" s="11"/>
      <c r="Z254" s="11"/>
    </row>
    <row r="255">
      <c r="B255" s="48"/>
      <c r="D255" s="49"/>
      <c r="E255" s="50"/>
      <c r="H255" s="51"/>
      <c r="I255" s="52"/>
      <c r="K255" s="53"/>
      <c r="L255" s="32"/>
      <c r="O255" s="11"/>
      <c r="Z255" s="11"/>
    </row>
    <row r="256">
      <c r="B256" s="48"/>
      <c r="D256" s="49"/>
      <c r="E256" s="50"/>
      <c r="H256" s="51"/>
      <c r="I256" s="52"/>
      <c r="K256" s="53"/>
      <c r="L256" s="32"/>
      <c r="O256" s="11"/>
      <c r="Z256" s="11"/>
    </row>
    <row r="257">
      <c r="B257" s="48"/>
      <c r="D257" s="49"/>
      <c r="E257" s="50"/>
      <c r="H257" s="51"/>
      <c r="I257" s="52"/>
      <c r="K257" s="53"/>
      <c r="L257" s="32"/>
      <c r="O257" s="11"/>
      <c r="Z257" s="11"/>
    </row>
    <row r="258">
      <c r="B258" s="48"/>
      <c r="D258" s="49"/>
      <c r="E258" s="50"/>
      <c r="H258" s="51"/>
      <c r="I258" s="52"/>
      <c r="K258" s="53"/>
      <c r="L258" s="32"/>
      <c r="O258" s="11"/>
      <c r="Z258" s="11"/>
    </row>
    <row r="259">
      <c r="B259" s="48"/>
      <c r="D259" s="49"/>
      <c r="E259" s="50"/>
      <c r="H259" s="51"/>
      <c r="I259" s="52"/>
      <c r="K259" s="53"/>
      <c r="L259" s="32"/>
      <c r="O259" s="11"/>
      <c r="Z259" s="11"/>
    </row>
    <row r="260">
      <c r="B260" s="48"/>
      <c r="D260" s="49"/>
      <c r="E260" s="50"/>
      <c r="H260" s="51"/>
      <c r="I260" s="52"/>
      <c r="K260" s="53"/>
      <c r="L260" s="32"/>
      <c r="O260" s="11"/>
      <c r="Z260" s="11"/>
    </row>
    <row r="261">
      <c r="B261" s="48"/>
      <c r="D261" s="49"/>
      <c r="E261" s="50"/>
      <c r="H261" s="51"/>
      <c r="I261" s="52"/>
      <c r="K261" s="53"/>
      <c r="L261" s="32"/>
      <c r="O261" s="11"/>
      <c r="Z261" s="11"/>
    </row>
    <row r="262">
      <c r="B262" s="48"/>
      <c r="D262" s="49"/>
      <c r="E262" s="50"/>
      <c r="H262" s="51"/>
      <c r="I262" s="52"/>
      <c r="K262" s="53"/>
      <c r="L262" s="32"/>
      <c r="O262" s="11"/>
      <c r="Z262" s="11"/>
    </row>
    <row r="263">
      <c r="B263" s="48"/>
      <c r="D263" s="49"/>
      <c r="E263" s="50"/>
      <c r="H263" s="51"/>
      <c r="I263" s="52"/>
      <c r="K263" s="53"/>
      <c r="L263" s="32"/>
      <c r="O263" s="11"/>
      <c r="Z263" s="11"/>
    </row>
    <row r="264">
      <c r="B264" s="48"/>
      <c r="D264" s="49"/>
      <c r="E264" s="50"/>
      <c r="H264" s="51"/>
      <c r="I264" s="52"/>
      <c r="K264" s="53"/>
      <c r="L264" s="32"/>
      <c r="O264" s="11"/>
      <c r="Z264" s="11"/>
    </row>
    <row r="265">
      <c r="B265" s="48"/>
      <c r="D265" s="49"/>
      <c r="E265" s="50"/>
      <c r="H265" s="51"/>
      <c r="I265" s="52"/>
      <c r="K265" s="53"/>
      <c r="L265" s="32"/>
      <c r="O265" s="11"/>
      <c r="Z265" s="11"/>
    </row>
    <row r="266">
      <c r="B266" s="48"/>
      <c r="D266" s="49"/>
      <c r="E266" s="50"/>
      <c r="H266" s="51"/>
      <c r="I266" s="52"/>
      <c r="K266" s="53"/>
      <c r="L266" s="32"/>
      <c r="O266" s="11"/>
      <c r="Z266" s="11"/>
    </row>
    <row r="267">
      <c r="B267" s="48"/>
      <c r="D267" s="49"/>
      <c r="E267" s="50"/>
      <c r="H267" s="51"/>
      <c r="I267" s="52"/>
      <c r="K267" s="53"/>
      <c r="L267" s="32"/>
      <c r="O267" s="11"/>
      <c r="Z267" s="11"/>
    </row>
    <row r="268">
      <c r="B268" s="48"/>
      <c r="D268" s="49"/>
      <c r="E268" s="50"/>
      <c r="H268" s="51"/>
      <c r="I268" s="52"/>
      <c r="K268" s="53"/>
      <c r="L268" s="32"/>
      <c r="O268" s="11"/>
      <c r="Z268" s="11"/>
    </row>
    <row r="269">
      <c r="B269" s="48"/>
      <c r="D269" s="49"/>
      <c r="E269" s="50"/>
      <c r="H269" s="51"/>
      <c r="I269" s="52"/>
      <c r="K269" s="53"/>
      <c r="L269" s="32"/>
      <c r="O269" s="11"/>
      <c r="Z269" s="11"/>
    </row>
    <row r="270">
      <c r="B270" s="48"/>
      <c r="D270" s="49"/>
      <c r="E270" s="50"/>
      <c r="H270" s="51"/>
      <c r="I270" s="52"/>
      <c r="K270" s="53"/>
      <c r="L270" s="32"/>
      <c r="O270" s="11"/>
      <c r="Z270" s="11"/>
    </row>
    <row r="271">
      <c r="B271" s="48"/>
      <c r="D271" s="49"/>
      <c r="E271" s="50"/>
      <c r="H271" s="51"/>
      <c r="I271" s="52"/>
      <c r="K271" s="53"/>
      <c r="L271" s="32"/>
      <c r="O271" s="11"/>
      <c r="Z271" s="11"/>
    </row>
    <row r="272">
      <c r="B272" s="48"/>
      <c r="D272" s="49"/>
      <c r="E272" s="50"/>
      <c r="H272" s="51"/>
      <c r="I272" s="52"/>
      <c r="K272" s="53"/>
      <c r="L272" s="32"/>
      <c r="O272" s="11"/>
      <c r="Z272" s="11"/>
    </row>
    <row r="273">
      <c r="B273" s="48"/>
      <c r="D273" s="49"/>
      <c r="E273" s="50"/>
      <c r="H273" s="51"/>
      <c r="I273" s="52"/>
      <c r="K273" s="53"/>
      <c r="L273" s="32"/>
      <c r="O273" s="11"/>
      <c r="Z273" s="11"/>
    </row>
    <row r="274">
      <c r="B274" s="48"/>
      <c r="D274" s="49"/>
      <c r="E274" s="50"/>
      <c r="H274" s="51"/>
      <c r="I274" s="52"/>
      <c r="K274" s="53"/>
      <c r="L274" s="32"/>
      <c r="O274" s="11"/>
      <c r="Z274" s="11"/>
    </row>
    <row r="275">
      <c r="B275" s="48"/>
      <c r="D275" s="49"/>
      <c r="E275" s="50"/>
      <c r="H275" s="51"/>
      <c r="I275" s="52"/>
      <c r="K275" s="53"/>
      <c r="L275" s="32"/>
      <c r="O275" s="11"/>
      <c r="Z275" s="11"/>
    </row>
    <row r="276">
      <c r="B276" s="48"/>
      <c r="D276" s="49"/>
      <c r="E276" s="50"/>
      <c r="H276" s="51"/>
      <c r="I276" s="52"/>
      <c r="K276" s="53"/>
      <c r="L276" s="32"/>
      <c r="O276" s="11"/>
      <c r="Z276" s="11"/>
    </row>
    <row r="277">
      <c r="B277" s="48"/>
      <c r="D277" s="49"/>
      <c r="E277" s="50"/>
      <c r="H277" s="51"/>
      <c r="I277" s="52"/>
      <c r="K277" s="53"/>
      <c r="L277" s="32"/>
      <c r="O277" s="11"/>
      <c r="Z277" s="11"/>
    </row>
    <row r="278">
      <c r="B278" s="48"/>
      <c r="D278" s="49"/>
      <c r="E278" s="50"/>
      <c r="H278" s="51"/>
      <c r="I278" s="52"/>
      <c r="K278" s="53"/>
      <c r="L278" s="32"/>
      <c r="O278" s="11"/>
      <c r="Z278" s="11"/>
    </row>
    <row r="279">
      <c r="B279" s="48"/>
      <c r="D279" s="49"/>
      <c r="E279" s="50"/>
      <c r="H279" s="51"/>
      <c r="I279" s="52"/>
      <c r="K279" s="53"/>
      <c r="L279" s="32"/>
      <c r="O279" s="11"/>
      <c r="Z279" s="11"/>
    </row>
    <row r="280">
      <c r="B280" s="48"/>
      <c r="D280" s="49"/>
      <c r="E280" s="50"/>
      <c r="H280" s="51"/>
      <c r="I280" s="52"/>
      <c r="K280" s="53"/>
      <c r="L280" s="32"/>
      <c r="O280" s="11"/>
      <c r="Z280" s="11"/>
    </row>
    <row r="281">
      <c r="B281" s="48"/>
      <c r="D281" s="49"/>
      <c r="E281" s="50"/>
      <c r="H281" s="51"/>
      <c r="I281" s="52"/>
      <c r="K281" s="53"/>
      <c r="L281" s="32"/>
      <c r="O281" s="11"/>
      <c r="Z281" s="11"/>
    </row>
    <row r="282">
      <c r="B282" s="48"/>
      <c r="D282" s="49"/>
      <c r="E282" s="50"/>
      <c r="H282" s="51"/>
      <c r="I282" s="52"/>
      <c r="K282" s="53"/>
      <c r="L282" s="32"/>
      <c r="O282" s="11"/>
      <c r="Z282" s="11"/>
    </row>
    <row r="283">
      <c r="B283" s="48"/>
      <c r="D283" s="49"/>
      <c r="E283" s="50"/>
      <c r="H283" s="51"/>
      <c r="I283" s="52"/>
      <c r="K283" s="53"/>
      <c r="L283" s="32"/>
      <c r="O283" s="11"/>
      <c r="Z283" s="11"/>
    </row>
    <row r="284">
      <c r="B284" s="48"/>
      <c r="D284" s="49"/>
      <c r="E284" s="50"/>
      <c r="H284" s="51"/>
      <c r="I284" s="52"/>
      <c r="K284" s="53"/>
      <c r="L284" s="32"/>
      <c r="O284" s="11"/>
      <c r="Z284" s="11"/>
    </row>
    <row r="285">
      <c r="B285" s="48"/>
      <c r="D285" s="49"/>
      <c r="E285" s="50"/>
      <c r="H285" s="51"/>
      <c r="I285" s="52"/>
      <c r="K285" s="53"/>
      <c r="L285" s="32"/>
      <c r="O285" s="11"/>
      <c r="Z285" s="11"/>
    </row>
    <row r="286">
      <c r="B286" s="48"/>
      <c r="D286" s="49"/>
      <c r="E286" s="50"/>
      <c r="H286" s="51"/>
      <c r="I286" s="52"/>
      <c r="K286" s="53"/>
      <c r="L286" s="32"/>
      <c r="O286" s="11"/>
      <c r="Z286" s="11"/>
    </row>
    <row r="287">
      <c r="B287" s="48"/>
      <c r="D287" s="49"/>
      <c r="E287" s="50"/>
      <c r="H287" s="51"/>
      <c r="I287" s="52"/>
      <c r="K287" s="53"/>
      <c r="L287" s="32"/>
      <c r="O287" s="11"/>
      <c r="Z287" s="11"/>
    </row>
    <row r="288">
      <c r="B288" s="48"/>
      <c r="D288" s="49"/>
      <c r="E288" s="50"/>
      <c r="H288" s="51"/>
      <c r="I288" s="52"/>
      <c r="K288" s="53"/>
      <c r="L288" s="32"/>
      <c r="O288" s="11"/>
      <c r="Z288" s="11"/>
    </row>
    <row r="289">
      <c r="B289" s="48"/>
      <c r="D289" s="49"/>
      <c r="E289" s="50"/>
      <c r="H289" s="51"/>
      <c r="I289" s="52"/>
      <c r="K289" s="53"/>
      <c r="L289" s="32"/>
      <c r="O289" s="11"/>
      <c r="Z289" s="11"/>
    </row>
    <row r="290">
      <c r="B290" s="48"/>
      <c r="D290" s="49"/>
      <c r="E290" s="50"/>
      <c r="H290" s="51"/>
      <c r="I290" s="52"/>
      <c r="K290" s="53"/>
      <c r="L290" s="32"/>
      <c r="O290" s="11"/>
      <c r="Z290" s="11"/>
    </row>
    <row r="291">
      <c r="B291" s="48"/>
      <c r="D291" s="49"/>
      <c r="E291" s="50"/>
      <c r="H291" s="51"/>
      <c r="I291" s="52"/>
      <c r="K291" s="53"/>
      <c r="L291" s="32"/>
      <c r="O291" s="11"/>
      <c r="Z291" s="11"/>
    </row>
    <row r="292">
      <c r="B292" s="48"/>
      <c r="D292" s="49"/>
      <c r="E292" s="50"/>
      <c r="H292" s="51"/>
      <c r="I292" s="52"/>
      <c r="K292" s="53"/>
      <c r="L292" s="32"/>
      <c r="O292" s="11"/>
      <c r="Z292" s="11"/>
    </row>
    <row r="293">
      <c r="B293" s="48"/>
      <c r="D293" s="49"/>
      <c r="E293" s="50"/>
      <c r="H293" s="51"/>
      <c r="I293" s="52"/>
      <c r="K293" s="53"/>
      <c r="L293" s="32"/>
      <c r="O293" s="11"/>
      <c r="Z293" s="11"/>
    </row>
    <row r="294">
      <c r="B294" s="48"/>
      <c r="D294" s="49"/>
      <c r="E294" s="50"/>
      <c r="H294" s="51"/>
      <c r="I294" s="52"/>
      <c r="K294" s="53"/>
      <c r="L294" s="32"/>
      <c r="O294" s="11"/>
      <c r="Z294" s="11"/>
    </row>
    <row r="295">
      <c r="B295" s="48"/>
      <c r="D295" s="49"/>
      <c r="E295" s="50"/>
      <c r="H295" s="51"/>
      <c r="I295" s="52"/>
      <c r="K295" s="53"/>
      <c r="L295" s="32"/>
      <c r="O295" s="11"/>
      <c r="Z295" s="11"/>
    </row>
    <row r="296">
      <c r="B296" s="48"/>
      <c r="D296" s="49"/>
      <c r="E296" s="50"/>
      <c r="H296" s="51"/>
      <c r="I296" s="52"/>
      <c r="K296" s="53"/>
      <c r="L296" s="32"/>
      <c r="O296" s="11"/>
      <c r="Z296" s="11"/>
    </row>
    <row r="297">
      <c r="B297" s="48"/>
      <c r="D297" s="49"/>
      <c r="E297" s="50"/>
      <c r="H297" s="51"/>
      <c r="I297" s="52"/>
      <c r="K297" s="53"/>
      <c r="L297" s="32"/>
      <c r="O297" s="11"/>
      <c r="Z297" s="11"/>
    </row>
    <row r="298">
      <c r="B298" s="48"/>
      <c r="D298" s="49"/>
      <c r="E298" s="50"/>
      <c r="H298" s="51"/>
      <c r="I298" s="52"/>
      <c r="K298" s="53"/>
      <c r="L298" s="32"/>
      <c r="O298" s="11"/>
      <c r="Z298" s="11"/>
    </row>
    <row r="299">
      <c r="B299" s="48"/>
      <c r="D299" s="49"/>
      <c r="E299" s="50"/>
      <c r="H299" s="51"/>
      <c r="I299" s="52"/>
      <c r="K299" s="53"/>
      <c r="L299" s="32"/>
      <c r="O299" s="11"/>
      <c r="Z299" s="11"/>
    </row>
    <row r="300">
      <c r="B300" s="48"/>
      <c r="D300" s="49"/>
      <c r="E300" s="50"/>
      <c r="H300" s="51"/>
      <c r="I300" s="52"/>
      <c r="K300" s="53"/>
      <c r="L300" s="32"/>
      <c r="O300" s="11"/>
      <c r="Z300" s="11"/>
    </row>
    <row r="301">
      <c r="B301" s="48"/>
      <c r="D301" s="49"/>
      <c r="E301" s="50"/>
      <c r="H301" s="51"/>
      <c r="I301" s="52"/>
      <c r="K301" s="53"/>
      <c r="L301" s="32"/>
      <c r="O301" s="11"/>
      <c r="Z301" s="11"/>
    </row>
    <row r="302">
      <c r="B302" s="48"/>
      <c r="D302" s="49"/>
      <c r="E302" s="50"/>
      <c r="H302" s="51"/>
      <c r="I302" s="52"/>
      <c r="K302" s="53"/>
      <c r="L302" s="32"/>
      <c r="O302" s="11"/>
      <c r="Z302" s="11"/>
    </row>
    <row r="303">
      <c r="B303" s="48"/>
      <c r="D303" s="49"/>
      <c r="E303" s="50"/>
      <c r="H303" s="51"/>
      <c r="I303" s="52"/>
      <c r="K303" s="53"/>
      <c r="L303" s="32"/>
      <c r="O303" s="11"/>
      <c r="Z303" s="11"/>
    </row>
    <row r="304">
      <c r="B304" s="48"/>
      <c r="D304" s="49"/>
      <c r="E304" s="50"/>
      <c r="H304" s="51"/>
      <c r="I304" s="52"/>
      <c r="K304" s="53"/>
      <c r="L304" s="32"/>
      <c r="O304" s="11"/>
      <c r="Z304" s="11"/>
    </row>
    <row r="305">
      <c r="B305" s="48"/>
      <c r="D305" s="49"/>
      <c r="E305" s="50"/>
      <c r="H305" s="51"/>
      <c r="I305" s="52"/>
      <c r="K305" s="53"/>
      <c r="L305" s="32"/>
      <c r="O305" s="11"/>
      <c r="Z305" s="11"/>
    </row>
    <row r="306">
      <c r="B306" s="48"/>
      <c r="D306" s="49"/>
      <c r="E306" s="50"/>
      <c r="H306" s="51"/>
      <c r="I306" s="52"/>
      <c r="K306" s="53"/>
      <c r="L306" s="32"/>
      <c r="O306" s="11"/>
      <c r="Z306" s="11"/>
    </row>
    <row r="307">
      <c r="B307" s="48"/>
      <c r="D307" s="49"/>
      <c r="E307" s="50"/>
      <c r="H307" s="51"/>
      <c r="I307" s="52"/>
      <c r="K307" s="53"/>
      <c r="L307" s="32"/>
      <c r="O307" s="11"/>
      <c r="Z307" s="11"/>
    </row>
    <row r="308">
      <c r="B308" s="48"/>
      <c r="D308" s="49"/>
      <c r="E308" s="50"/>
      <c r="H308" s="51"/>
      <c r="I308" s="52"/>
      <c r="K308" s="53"/>
      <c r="L308" s="32"/>
      <c r="O308" s="11"/>
      <c r="Z308" s="11"/>
    </row>
    <row r="309">
      <c r="B309" s="48"/>
      <c r="D309" s="49"/>
      <c r="E309" s="50"/>
      <c r="H309" s="51"/>
      <c r="I309" s="52"/>
      <c r="K309" s="53"/>
      <c r="L309" s="32"/>
      <c r="O309" s="11"/>
      <c r="Z309" s="11"/>
    </row>
    <row r="310">
      <c r="B310" s="48"/>
      <c r="D310" s="49"/>
      <c r="E310" s="50"/>
      <c r="H310" s="51"/>
      <c r="I310" s="52"/>
      <c r="K310" s="53"/>
      <c r="L310" s="32"/>
      <c r="O310" s="11"/>
      <c r="Z310" s="11"/>
    </row>
    <row r="311">
      <c r="B311" s="48"/>
      <c r="D311" s="49"/>
      <c r="E311" s="50"/>
      <c r="H311" s="51"/>
      <c r="I311" s="52"/>
      <c r="K311" s="53"/>
      <c r="L311" s="32"/>
      <c r="O311" s="11"/>
      <c r="Z311" s="11"/>
    </row>
    <row r="312">
      <c r="B312" s="48"/>
      <c r="D312" s="49"/>
      <c r="E312" s="50"/>
      <c r="H312" s="51"/>
      <c r="I312" s="52"/>
      <c r="K312" s="53"/>
      <c r="L312" s="32"/>
      <c r="O312" s="11"/>
      <c r="Z312" s="11"/>
    </row>
    <row r="313">
      <c r="B313" s="48"/>
      <c r="D313" s="49"/>
      <c r="E313" s="50"/>
      <c r="H313" s="51"/>
      <c r="I313" s="52"/>
      <c r="K313" s="53"/>
      <c r="L313" s="32"/>
      <c r="O313" s="11"/>
      <c r="Z313" s="11"/>
    </row>
    <row r="314">
      <c r="B314" s="48"/>
      <c r="D314" s="49"/>
      <c r="E314" s="50"/>
      <c r="H314" s="51"/>
      <c r="I314" s="52"/>
      <c r="K314" s="53"/>
      <c r="L314" s="32"/>
      <c r="O314" s="11"/>
      <c r="Z314" s="11"/>
    </row>
    <row r="315">
      <c r="B315" s="48"/>
      <c r="D315" s="49"/>
      <c r="E315" s="50"/>
      <c r="H315" s="51"/>
      <c r="I315" s="52"/>
      <c r="K315" s="53"/>
      <c r="L315" s="32"/>
      <c r="O315" s="11"/>
      <c r="Z315" s="11"/>
    </row>
    <row r="316">
      <c r="B316" s="48"/>
      <c r="D316" s="49"/>
      <c r="E316" s="50"/>
      <c r="H316" s="51"/>
      <c r="I316" s="52"/>
      <c r="K316" s="53"/>
      <c r="L316" s="32"/>
      <c r="O316" s="11"/>
      <c r="Z316" s="11"/>
    </row>
    <row r="317">
      <c r="B317" s="48"/>
      <c r="D317" s="49"/>
      <c r="E317" s="50"/>
      <c r="H317" s="51"/>
      <c r="I317" s="52"/>
      <c r="K317" s="53"/>
      <c r="L317" s="32"/>
      <c r="O317" s="11"/>
      <c r="Z317" s="11"/>
    </row>
    <row r="318">
      <c r="B318" s="48"/>
      <c r="D318" s="49"/>
      <c r="E318" s="50"/>
      <c r="H318" s="51"/>
      <c r="I318" s="52"/>
      <c r="K318" s="53"/>
      <c r="L318" s="32"/>
      <c r="O318" s="11"/>
      <c r="Z318" s="11"/>
    </row>
    <row r="319">
      <c r="B319" s="48"/>
      <c r="D319" s="49"/>
      <c r="E319" s="50"/>
      <c r="H319" s="51"/>
      <c r="I319" s="52"/>
      <c r="K319" s="53"/>
      <c r="L319" s="32"/>
      <c r="O319" s="11"/>
      <c r="Z319" s="11"/>
    </row>
    <row r="320">
      <c r="B320" s="48"/>
      <c r="D320" s="49"/>
      <c r="E320" s="50"/>
      <c r="H320" s="51"/>
      <c r="I320" s="52"/>
      <c r="K320" s="53"/>
      <c r="L320" s="32"/>
      <c r="O320" s="11"/>
      <c r="Z320" s="11"/>
    </row>
    <row r="321">
      <c r="B321" s="48"/>
      <c r="D321" s="49"/>
      <c r="E321" s="50"/>
      <c r="H321" s="51"/>
      <c r="I321" s="52"/>
      <c r="K321" s="53"/>
      <c r="L321" s="32"/>
      <c r="O321" s="11"/>
      <c r="Z321" s="11"/>
    </row>
    <row r="322">
      <c r="B322" s="48"/>
      <c r="D322" s="49"/>
      <c r="E322" s="50"/>
      <c r="H322" s="51"/>
      <c r="I322" s="52"/>
      <c r="K322" s="53"/>
      <c r="L322" s="32"/>
      <c r="O322" s="11"/>
      <c r="Z322" s="11"/>
    </row>
    <row r="323">
      <c r="B323" s="48"/>
      <c r="D323" s="49"/>
      <c r="E323" s="50"/>
      <c r="H323" s="51"/>
      <c r="I323" s="52"/>
      <c r="K323" s="53"/>
      <c r="L323" s="32"/>
      <c r="O323" s="11"/>
      <c r="Z323" s="11"/>
    </row>
    <row r="324">
      <c r="B324" s="48"/>
      <c r="D324" s="49"/>
      <c r="E324" s="50"/>
      <c r="H324" s="51"/>
      <c r="I324" s="52"/>
      <c r="K324" s="53"/>
      <c r="L324" s="32"/>
      <c r="O324" s="11"/>
      <c r="Z324" s="11"/>
    </row>
    <row r="325">
      <c r="B325" s="48"/>
      <c r="D325" s="49"/>
      <c r="E325" s="50"/>
      <c r="H325" s="51"/>
      <c r="I325" s="52"/>
      <c r="K325" s="53"/>
      <c r="L325" s="32"/>
      <c r="O325" s="11"/>
      <c r="Z325" s="11"/>
    </row>
    <row r="326">
      <c r="B326" s="48"/>
      <c r="D326" s="49"/>
      <c r="E326" s="50"/>
      <c r="H326" s="51"/>
      <c r="I326" s="52"/>
      <c r="K326" s="53"/>
      <c r="L326" s="32"/>
      <c r="O326" s="11"/>
      <c r="Z326" s="11"/>
    </row>
    <row r="327">
      <c r="B327" s="48"/>
      <c r="D327" s="49"/>
      <c r="E327" s="50"/>
      <c r="H327" s="51"/>
      <c r="I327" s="52"/>
      <c r="K327" s="53"/>
      <c r="L327" s="32"/>
      <c r="O327" s="11"/>
      <c r="Z327" s="11"/>
    </row>
    <row r="328">
      <c r="B328" s="48"/>
      <c r="D328" s="49"/>
      <c r="E328" s="50"/>
      <c r="H328" s="51"/>
      <c r="I328" s="52"/>
      <c r="K328" s="53"/>
      <c r="L328" s="32"/>
      <c r="O328" s="11"/>
      <c r="Z328" s="11"/>
    </row>
    <row r="329">
      <c r="B329" s="48"/>
      <c r="D329" s="49"/>
      <c r="E329" s="50"/>
      <c r="H329" s="51"/>
      <c r="I329" s="52"/>
      <c r="K329" s="53"/>
      <c r="L329" s="32"/>
      <c r="O329" s="11"/>
      <c r="Z329" s="11"/>
    </row>
    <row r="330">
      <c r="B330" s="48"/>
      <c r="D330" s="49"/>
      <c r="E330" s="50"/>
      <c r="H330" s="51"/>
      <c r="I330" s="52"/>
      <c r="K330" s="53"/>
      <c r="L330" s="32"/>
      <c r="O330" s="11"/>
      <c r="Z330" s="11"/>
    </row>
    <row r="331">
      <c r="B331" s="48"/>
      <c r="D331" s="49"/>
      <c r="E331" s="50"/>
      <c r="H331" s="51"/>
      <c r="I331" s="52"/>
      <c r="K331" s="53"/>
      <c r="L331" s="32"/>
      <c r="O331" s="11"/>
      <c r="Z331" s="11"/>
    </row>
    <row r="332">
      <c r="B332" s="48"/>
      <c r="D332" s="49"/>
      <c r="E332" s="50"/>
      <c r="H332" s="51"/>
      <c r="I332" s="52"/>
      <c r="K332" s="53"/>
      <c r="L332" s="32"/>
      <c r="O332" s="11"/>
      <c r="Z332" s="11"/>
    </row>
    <row r="333">
      <c r="B333" s="48"/>
      <c r="D333" s="49"/>
      <c r="E333" s="50"/>
      <c r="H333" s="51"/>
      <c r="I333" s="52"/>
      <c r="K333" s="53"/>
      <c r="L333" s="32"/>
      <c r="O333" s="11"/>
      <c r="Z333" s="11"/>
    </row>
    <row r="334">
      <c r="B334" s="48"/>
      <c r="D334" s="49"/>
      <c r="E334" s="50"/>
      <c r="H334" s="51"/>
      <c r="I334" s="52"/>
      <c r="K334" s="53"/>
      <c r="L334" s="32"/>
      <c r="O334" s="11"/>
      <c r="Z334" s="11"/>
    </row>
    <row r="335">
      <c r="B335" s="48"/>
      <c r="D335" s="49"/>
      <c r="E335" s="50"/>
      <c r="H335" s="51"/>
      <c r="I335" s="52"/>
      <c r="K335" s="53"/>
      <c r="L335" s="32"/>
      <c r="O335" s="11"/>
      <c r="Z335" s="11"/>
    </row>
    <row r="336">
      <c r="B336" s="48"/>
      <c r="D336" s="49"/>
      <c r="E336" s="50"/>
      <c r="H336" s="51"/>
      <c r="I336" s="52"/>
      <c r="K336" s="53"/>
      <c r="L336" s="32"/>
      <c r="O336" s="11"/>
      <c r="Z336" s="11"/>
    </row>
    <row r="337">
      <c r="B337" s="48"/>
      <c r="D337" s="49"/>
      <c r="E337" s="50"/>
      <c r="H337" s="51"/>
      <c r="I337" s="52"/>
      <c r="K337" s="53"/>
      <c r="L337" s="32"/>
      <c r="O337" s="11"/>
      <c r="Z337" s="11"/>
    </row>
    <row r="338">
      <c r="B338" s="48"/>
      <c r="D338" s="49"/>
      <c r="E338" s="50"/>
      <c r="H338" s="51"/>
      <c r="I338" s="52"/>
      <c r="K338" s="53"/>
      <c r="L338" s="32"/>
      <c r="O338" s="11"/>
      <c r="Z338" s="11"/>
    </row>
    <row r="339">
      <c r="B339" s="48"/>
      <c r="D339" s="49"/>
      <c r="E339" s="50"/>
      <c r="H339" s="51"/>
      <c r="I339" s="52"/>
      <c r="K339" s="53"/>
      <c r="L339" s="32"/>
      <c r="O339" s="11"/>
      <c r="Z339" s="11"/>
    </row>
    <row r="340">
      <c r="B340" s="48"/>
      <c r="D340" s="49"/>
      <c r="E340" s="50"/>
      <c r="H340" s="51"/>
      <c r="I340" s="52"/>
      <c r="K340" s="53"/>
      <c r="L340" s="32"/>
      <c r="O340" s="11"/>
      <c r="Z340" s="11"/>
    </row>
    <row r="341">
      <c r="B341" s="48"/>
      <c r="D341" s="49"/>
      <c r="E341" s="50"/>
      <c r="H341" s="51"/>
      <c r="I341" s="52"/>
      <c r="K341" s="53"/>
      <c r="L341" s="32"/>
      <c r="O341" s="11"/>
      <c r="Z341" s="11"/>
    </row>
    <row r="342">
      <c r="B342" s="48"/>
      <c r="D342" s="49"/>
      <c r="E342" s="50"/>
      <c r="H342" s="51"/>
      <c r="I342" s="52"/>
      <c r="K342" s="53"/>
      <c r="L342" s="32"/>
      <c r="O342" s="11"/>
      <c r="Z342" s="11"/>
    </row>
    <row r="343">
      <c r="B343" s="48"/>
      <c r="D343" s="49"/>
      <c r="E343" s="50"/>
      <c r="H343" s="51"/>
      <c r="I343" s="52"/>
      <c r="K343" s="53"/>
      <c r="L343" s="32"/>
      <c r="O343" s="11"/>
      <c r="Z343" s="11"/>
    </row>
    <row r="344">
      <c r="B344" s="48"/>
      <c r="D344" s="49"/>
      <c r="E344" s="50"/>
      <c r="H344" s="51"/>
      <c r="I344" s="52"/>
      <c r="K344" s="53"/>
      <c r="L344" s="32"/>
      <c r="O344" s="11"/>
      <c r="Z344" s="11"/>
    </row>
    <row r="345">
      <c r="B345" s="48"/>
      <c r="D345" s="49"/>
      <c r="E345" s="50"/>
      <c r="H345" s="51"/>
      <c r="I345" s="52"/>
      <c r="K345" s="53"/>
      <c r="L345" s="32"/>
      <c r="O345" s="11"/>
      <c r="Z345" s="11"/>
    </row>
    <row r="346">
      <c r="B346" s="48"/>
      <c r="D346" s="49"/>
      <c r="E346" s="50"/>
      <c r="H346" s="51"/>
      <c r="I346" s="52"/>
      <c r="K346" s="53"/>
      <c r="L346" s="32"/>
      <c r="O346" s="11"/>
      <c r="Z346" s="11"/>
    </row>
    <row r="347">
      <c r="B347" s="48"/>
      <c r="D347" s="49"/>
      <c r="E347" s="50"/>
      <c r="H347" s="51"/>
      <c r="I347" s="52"/>
      <c r="K347" s="53"/>
      <c r="L347" s="32"/>
      <c r="O347" s="11"/>
      <c r="Z347" s="11"/>
    </row>
    <row r="348">
      <c r="B348" s="48"/>
      <c r="D348" s="49"/>
      <c r="E348" s="50"/>
      <c r="H348" s="51"/>
      <c r="I348" s="52"/>
      <c r="K348" s="53"/>
      <c r="L348" s="32"/>
      <c r="O348" s="11"/>
      <c r="Z348" s="11"/>
    </row>
    <row r="349">
      <c r="B349" s="48"/>
      <c r="D349" s="49"/>
      <c r="E349" s="50"/>
      <c r="H349" s="51"/>
      <c r="I349" s="52"/>
      <c r="K349" s="53"/>
      <c r="L349" s="32"/>
      <c r="O349" s="11"/>
      <c r="Z349" s="11"/>
    </row>
    <row r="350">
      <c r="B350" s="48"/>
      <c r="D350" s="49"/>
      <c r="E350" s="50"/>
      <c r="H350" s="51"/>
      <c r="I350" s="52"/>
      <c r="K350" s="53"/>
      <c r="L350" s="32"/>
      <c r="O350" s="11"/>
      <c r="Z350" s="11"/>
    </row>
    <row r="351">
      <c r="B351" s="48"/>
      <c r="D351" s="49"/>
      <c r="E351" s="50"/>
      <c r="H351" s="51"/>
      <c r="I351" s="52"/>
      <c r="K351" s="53"/>
      <c r="L351" s="32"/>
      <c r="O351" s="11"/>
      <c r="Z351" s="11"/>
    </row>
    <row r="352">
      <c r="B352" s="48"/>
      <c r="D352" s="49"/>
      <c r="E352" s="50"/>
      <c r="H352" s="51"/>
      <c r="I352" s="52"/>
      <c r="K352" s="53"/>
      <c r="L352" s="32"/>
      <c r="O352" s="11"/>
      <c r="Z352" s="11"/>
    </row>
    <row r="353">
      <c r="B353" s="48"/>
      <c r="D353" s="49"/>
      <c r="E353" s="50"/>
      <c r="H353" s="51"/>
      <c r="I353" s="52"/>
      <c r="K353" s="53"/>
      <c r="L353" s="32"/>
      <c r="O353" s="11"/>
      <c r="Z353" s="11"/>
    </row>
    <row r="354">
      <c r="B354" s="48"/>
      <c r="D354" s="49"/>
      <c r="E354" s="50"/>
      <c r="H354" s="51"/>
      <c r="I354" s="52"/>
      <c r="K354" s="53"/>
      <c r="L354" s="32"/>
      <c r="O354" s="11"/>
      <c r="Z354" s="11"/>
    </row>
    <row r="355">
      <c r="B355" s="48"/>
      <c r="D355" s="49"/>
      <c r="E355" s="50"/>
      <c r="H355" s="51"/>
      <c r="I355" s="52"/>
      <c r="K355" s="53"/>
      <c r="L355" s="32"/>
      <c r="O355" s="11"/>
      <c r="Z355" s="11"/>
    </row>
    <row r="356">
      <c r="B356" s="48"/>
      <c r="D356" s="49"/>
      <c r="E356" s="50"/>
      <c r="H356" s="51"/>
      <c r="I356" s="52"/>
      <c r="K356" s="53"/>
      <c r="L356" s="32"/>
      <c r="O356" s="11"/>
      <c r="Z356" s="11"/>
    </row>
    <row r="357">
      <c r="B357" s="48"/>
      <c r="D357" s="49"/>
      <c r="E357" s="50"/>
      <c r="H357" s="51"/>
      <c r="I357" s="52"/>
      <c r="K357" s="53"/>
      <c r="L357" s="32"/>
      <c r="O357" s="11"/>
      <c r="Z357" s="11"/>
    </row>
    <row r="358">
      <c r="B358" s="48"/>
      <c r="D358" s="49"/>
      <c r="E358" s="50"/>
      <c r="H358" s="51"/>
      <c r="I358" s="52"/>
      <c r="K358" s="53"/>
      <c r="L358" s="32"/>
      <c r="O358" s="11"/>
      <c r="Z358" s="11"/>
    </row>
    <row r="359">
      <c r="B359" s="48"/>
      <c r="D359" s="49"/>
      <c r="E359" s="50"/>
      <c r="H359" s="51"/>
      <c r="I359" s="52"/>
      <c r="K359" s="53"/>
      <c r="L359" s="32"/>
      <c r="O359" s="11"/>
      <c r="Z359" s="11"/>
    </row>
    <row r="360">
      <c r="B360" s="48"/>
      <c r="D360" s="49"/>
      <c r="E360" s="50"/>
      <c r="H360" s="51"/>
      <c r="I360" s="52"/>
      <c r="K360" s="53"/>
      <c r="L360" s="32"/>
      <c r="O360" s="11"/>
      <c r="Z360" s="11"/>
    </row>
    <row r="361">
      <c r="B361" s="48"/>
      <c r="D361" s="49"/>
      <c r="E361" s="50"/>
      <c r="H361" s="51"/>
      <c r="I361" s="52"/>
      <c r="K361" s="53"/>
      <c r="L361" s="32"/>
      <c r="O361" s="11"/>
      <c r="Z361" s="11"/>
    </row>
    <row r="362">
      <c r="B362" s="48"/>
      <c r="D362" s="49"/>
      <c r="E362" s="50"/>
      <c r="H362" s="51"/>
      <c r="I362" s="52"/>
      <c r="K362" s="53"/>
      <c r="L362" s="32"/>
      <c r="O362" s="11"/>
      <c r="Z362" s="11"/>
    </row>
    <row r="363">
      <c r="B363" s="48"/>
      <c r="D363" s="49"/>
      <c r="E363" s="50"/>
      <c r="H363" s="51"/>
      <c r="I363" s="52"/>
      <c r="K363" s="53"/>
      <c r="L363" s="32"/>
      <c r="O363" s="11"/>
      <c r="Z363" s="11"/>
    </row>
    <row r="364">
      <c r="B364" s="48"/>
      <c r="D364" s="49"/>
      <c r="E364" s="50"/>
      <c r="H364" s="51"/>
      <c r="I364" s="52"/>
      <c r="K364" s="53"/>
      <c r="L364" s="32"/>
      <c r="O364" s="11"/>
      <c r="Z364" s="11"/>
    </row>
    <row r="365">
      <c r="B365" s="48"/>
      <c r="D365" s="49"/>
      <c r="E365" s="50"/>
      <c r="H365" s="51"/>
      <c r="I365" s="52"/>
      <c r="K365" s="53"/>
      <c r="L365" s="32"/>
      <c r="O365" s="11"/>
      <c r="Z365" s="11"/>
    </row>
    <row r="366">
      <c r="B366" s="48"/>
      <c r="D366" s="49"/>
      <c r="E366" s="50"/>
      <c r="H366" s="51"/>
      <c r="I366" s="52"/>
      <c r="K366" s="53"/>
      <c r="L366" s="32"/>
      <c r="O366" s="11"/>
      <c r="Z366" s="11"/>
    </row>
    <row r="367">
      <c r="B367" s="48"/>
      <c r="D367" s="49"/>
      <c r="E367" s="50"/>
      <c r="H367" s="51"/>
      <c r="I367" s="52"/>
      <c r="K367" s="53"/>
      <c r="L367" s="32"/>
      <c r="O367" s="11"/>
      <c r="Z367" s="11"/>
    </row>
    <row r="368">
      <c r="B368" s="48"/>
      <c r="D368" s="49"/>
      <c r="E368" s="50"/>
      <c r="H368" s="51"/>
      <c r="I368" s="52"/>
      <c r="K368" s="53"/>
      <c r="L368" s="32"/>
      <c r="O368" s="11"/>
      <c r="Z368" s="11"/>
    </row>
    <row r="369">
      <c r="B369" s="48"/>
      <c r="D369" s="49"/>
      <c r="E369" s="50"/>
      <c r="H369" s="51"/>
      <c r="I369" s="52"/>
      <c r="K369" s="53"/>
      <c r="L369" s="32"/>
      <c r="O369" s="11"/>
      <c r="Z369" s="11"/>
    </row>
    <row r="370">
      <c r="B370" s="48"/>
      <c r="D370" s="49"/>
      <c r="E370" s="50"/>
      <c r="H370" s="51"/>
      <c r="I370" s="52"/>
      <c r="K370" s="53"/>
      <c r="L370" s="32"/>
      <c r="O370" s="11"/>
      <c r="Z370" s="11"/>
    </row>
    <row r="371">
      <c r="B371" s="48"/>
      <c r="D371" s="49"/>
      <c r="E371" s="50"/>
      <c r="H371" s="51"/>
      <c r="I371" s="52"/>
      <c r="K371" s="53"/>
      <c r="L371" s="32"/>
      <c r="O371" s="11"/>
      <c r="Z371" s="11"/>
    </row>
    <row r="372">
      <c r="B372" s="48"/>
      <c r="D372" s="49"/>
      <c r="E372" s="50"/>
      <c r="H372" s="51"/>
      <c r="I372" s="52"/>
      <c r="K372" s="53"/>
      <c r="L372" s="32"/>
      <c r="O372" s="11"/>
      <c r="Z372" s="11"/>
    </row>
    <row r="373">
      <c r="B373" s="48"/>
      <c r="D373" s="49"/>
      <c r="E373" s="50"/>
      <c r="H373" s="51"/>
      <c r="I373" s="52"/>
      <c r="K373" s="53"/>
      <c r="L373" s="32"/>
      <c r="O373" s="11"/>
      <c r="Z373" s="11"/>
    </row>
    <row r="374">
      <c r="B374" s="48"/>
      <c r="D374" s="49"/>
      <c r="E374" s="50"/>
      <c r="H374" s="51"/>
      <c r="I374" s="52"/>
      <c r="K374" s="53"/>
      <c r="L374" s="32"/>
      <c r="O374" s="11"/>
      <c r="Z374" s="11"/>
    </row>
    <row r="375">
      <c r="B375" s="48"/>
      <c r="D375" s="49"/>
      <c r="E375" s="50"/>
      <c r="H375" s="51"/>
      <c r="I375" s="52"/>
      <c r="K375" s="53"/>
      <c r="L375" s="32"/>
      <c r="O375" s="11"/>
      <c r="Z375" s="11"/>
    </row>
    <row r="376">
      <c r="B376" s="48"/>
      <c r="D376" s="49"/>
      <c r="E376" s="50"/>
      <c r="H376" s="51"/>
      <c r="I376" s="52"/>
      <c r="K376" s="53"/>
      <c r="L376" s="32"/>
      <c r="O376" s="11"/>
      <c r="Z376" s="11"/>
    </row>
    <row r="377">
      <c r="B377" s="48"/>
      <c r="D377" s="49"/>
      <c r="E377" s="50"/>
      <c r="H377" s="51"/>
      <c r="I377" s="52"/>
      <c r="K377" s="53"/>
      <c r="L377" s="32"/>
      <c r="O377" s="11"/>
      <c r="Z377" s="11"/>
    </row>
    <row r="378">
      <c r="B378" s="48"/>
      <c r="D378" s="49"/>
      <c r="E378" s="50"/>
      <c r="H378" s="51"/>
      <c r="I378" s="52"/>
      <c r="K378" s="53"/>
      <c r="L378" s="32"/>
      <c r="O378" s="11"/>
      <c r="Z378" s="11"/>
    </row>
    <row r="379">
      <c r="B379" s="48"/>
      <c r="D379" s="49"/>
      <c r="E379" s="50"/>
      <c r="H379" s="51"/>
      <c r="I379" s="52"/>
      <c r="K379" s="53"/>
      <c r="L379" s="32"/>
      <c r="O379" s="11"/>
      <c r="Z379" s="11"/>
    </row>
    <row r="380">
      <c r="B380" s="48"/>
      <c r="D380" s="49"/>
      <c r="E380" s="50"/>
      <c r="H380" s="51"/>
      <c r="I380" s="52"/>
      <c r="K380" s="53"/>
      <c r="L380" s="32"/>
      <c r="O380" s="11"/>
      <c r="Z380" s="11"/>
    </row>
    <row r="381">
      <c r="B381" s="48"/>
      <c r="D381" s="49"/>
      <c r="E381" s="50"/>
      <c r="H381" s="51"/>
      <c r="I381" s="52"/>
      <c r="K381" s="53"/>
      <c r="L381" s="32"/>
      <c r="O381" s="11"/>
      <c r="Z381" s="11"/>
    </row>
    <row r="382">
      <c r="B382" s="48"/>
      <c r="D382" s="49"/>
      <c r="E382" s="50"/>
      <c r="H382" s="51"/>
      <c r="I382" s="52"/>
      <c r="K382" s="53"/>
      <c r="L382" s="32"/>
      <c r="O382" s="11"/>
      <c r="Z382" s="11"/>
    </row>
    <row r="383">
      <c r="B383" s="48"/>
      <c r="D383" s="49"/>
      <c r="E383" s="50"/>
      <c r="H383" s="51"/>
      <c r="I383" s="52"/>
      <c r="K383" s="53"/>
      <c r="L383" s="32"/>
      <c r="O383" s="11"/>
      <c r="Z383" s="11"/>
    </row>
    <row r="384">
      <c r="B384" s="48"/>
      <c r="D384" s="49"/>
      <c r="E384" s="50"/>
      <c r="H384" s="51"/>
      <c r="I384" s="52"/>
      <c r="K384" s="53"/>
      <c r="L384" s="32"/>
      <c r="O384" s="11"/>
      <c r="Z384" s="11"/>
    </row>
    <row r="385">
      <c r="B385" s="48"/>
      <c r="D385" s="49"/>
      <c r="E385" s="50"/>
      <c r="H385" s="51"/>
      <c r="I385" s="52"/>
      <c r="K385" s="53"/>
      <c r="L385" s="32"/>
      <c r="O385" s="11"/>
      <c r="Z385" s="11"/>
    </row>
    <row r="386">
      <c r="B386" s="48"/>
      <c r="D386" s="49"/>
      <c r="E386" s="50"/>
      <c r="H386" s="51"/>
      <c r="I386" s="52"/>
      <c r="K386" s="53"/>
      <c r="L386" s="32"/>
      <c r="O386" s="11"/>
      <c r="Z386" s="11"/>
    </row>
    <row r="387">
      <c r="B387" s="48"/>
      <c r="D387" s="49"/>
      <c r="E387" s="50"/>
      <c r="H387" s="51"/>
      <c r="I387" s="52"/>
      <c r="K387" s="53"/>
      <c r="L387" s="32"/>
      <c r="O387" s="11"/>
      <c r="Z387" s="11"/>
    </row>
    <row r="388">
      <c r="B388" s="48"/>
      <c r="D388" s="49"/>
      <c r="E388" s="50"/>
      <c r="H388" s="51"/>
      <c r="I388" s="52"/>
      <c r="K388" s="53"/>
      <c r="L388" s="32"/>
      <c r="O388" s="11"/>
      <c r="Z388" s="11"/>
    </row>
    <row r="389">
      <c r="B389" s="48"/>
      <c r="D389" s="49"/>
      <c r="E389" s="50"/>
      <c r="H389" s="51"/>
      <c r="I389" s="52"/>
      <c r="K389" s="53"/>
      <c r="L389" s="32"/>
      <c r="O389" s="11"/>
      <c r="Z389" s="11"/>
    </row>
    <row r="390">
      <c r="B390" s="48"/>
      <c r="D390" s="49"/>
      <c r="E390" s="50"/>
      <c r="H390" s="51"/>
      <c r="I390" s="52"/>
      <c r="K390" s="53"/>
      <c r="L390" s="32"/>
      <c r="O390" s="11"/>
      <c r="Z390" s="11"/>
    </row>
    <row r="391">
      <c r="B391" s="48"/>
      <c r="D391" s="49"/>
      <c r="E391" s="50"/>
      <c r="H391" s="51"/>
      <c r="I391" s="52"/>
      <c r="K391" s="53"/>
      <c r="L391" s="32"/>
      <c r="O391" s="11"/>
      <c r="Z391" s="11"/>
    </row>
    <row r="392">
      <c r="B392" s="48"/>
      <c r="D392" s="49"/>
      <c r="E392" s="50"/>
      <c r="H392" s="51"/>
      <c r="I392" s="52"/>
      <c r="K392" s="53"/>
      <c r="L392" s="32"/>
      <c r="O392" s="11"/>
      <c r="Z392" s="11"/>
    </row>
    <row r="393">
      <c r="B393" s="48"/>
      <c r="D393" s="49"/>
      <c r="E393" s="50"/>
      <c r="H393" s="51"/>
      <c r="I393" s="52"/>
      <c r="K393" s="53"/>
      <c r="L393" s="32"/>
      <c r="O393" s="11"/>
      <c r="Z393" s="11"/>
    </row>
    <row r="394">
      <c r="B394" s="48"/>
      <c r="D394" s="49"/>
      <c r="E394" s="50"/>
      <c r="H394" s="51"/>
      <c r="I394" s="52"/>
      <c r="K394" s="53"/>
      <c r="L394" s="32"/>
      <c r="O394" s="11"/>
      <c r="Z394" s="11"/>
    </row>
    <row r="395">
      <c r="B395" s="48"/>
      <c r="D395" s="49"/>
      <c r="E395" s="50"/>
      <c r="H395" s="51"/>
      <c r="I395" s="52"/>
      <c r="K395" s="53"/>
      <c r="L395" s="32"/>
      <c r="O395" s="11"/>
      <c r="Z395" s="11"/>
    </row>
    <row r="396">
      <c r="B396" s="48"/>
      <c r="D396" s="49"/>
      <c r="E396" s="50"/>
      <c r="H396" s="51"/>
      <c r="I396" s="52"/>
      <c r="K396" s="53"/>
      <c r="L396" s="32"/>
      <c r="O396" s="11"/>
      <c r="Z396" s="11"/>
    </row>
    <row r="397">
      <c r="B397" s="48"/>
      <c r="D397" s="49"/>
      <c r="E397" s="50"/>
      <c r="H397" s="51"/>
      <c r="I397" s="52"/>
      <c r="K397" s="53"/>
      <c r="L397" s="32"/>
      <c r="O397" s="11"/>
      <c r="Z397" s="11"/>
    </row>
    <row r="398">
      <c r="B398" s="48"/>
      <c r="D398" s="49"/>
      <c r="E398" s="50"/>
      <c r="H398" s="51"/>
      <c r="I398" s="52"/>
      <c r="K398" s="53"/>
      <c r="L398" s="32"/>
      <c r="O398" s="11"/>
      <c r="Z398" s="11"/>
    </row>
    <row r="399">
      <c r="B399" s="48"/>
      <c r="D399" s="49"/>
      <c r="E399" s="50"/>
      <c r="H399" s="51"/>
      <c r="I399" s="52"/>
      <c r="K399" s="53"/>
      <c r="L399" s="32"/>
      <c r="O399" s="11"/>
      <c r="Z399" s="11"/>
    </row>
    <row r="400">
      <c r="B400" s="48"/>
      <c r="D400" s="49"/>
      <c r="E400" s="50"/>
      <c r="H400" s="51"/>
      <c r="I400" s="52"/>
      <c r="K400" s="53"/>
      <c r="L400" s="32"/>
      <c r="O400" s="11"/>
      <c r="Z400" s="11"/>
    </row>
    <row r="401">
      <c r="B401" s="48"/>
      <c r="D401" s="49"/>
      <c r="E401" s="50"/>
      <c r="H401" s="51"/>
      <c r="I401" s="52"/>
      <c r="K401" s="53"/>
      <c r="L401" s="32"/>
      <c r="O401" s="11"/>
      <c r="Z401" s="11"/>
    </row>
    <row r="402">
      <c r="B402" s="48"/>
      <c r="D402" s="49"/>
      <c r="E402" s="50"/>
      <c r="H402" s="51"/>
      <c r="I402" s="52"/>
      <c r="K402" s="53"/>
      <c r="L402" s="32"/>
      <c r="O402" s="11"/>
      <c r="Z402" s="11"/>
    </row>
    <row r="403">
      <c r="B403" s="48"/>
      <c r="D403" s="49"/>
      <c r="E403" s="50"/>
      <c r="H403" s="51"/>
      <c r="I403" s="52"/>
      <c r="K403" s="53"/>
      <c r="L403" s="32"/>
      <c r="O403" s="11"/>
      <c r="Z403" s="11"/>
    </row>
    <row r="404">
      <c r="B404" s="48"/>
      <c r="D404" s="49"/>
      <c r="E404" s="50"/>
      <c r="H404" s="51"/>
      <c r="I404" s="52"/>
      <c r="K404" s="53"/>
      <c r="L404" s="32"/>
      <c r="O404" s="11"/>
      <c r="Z404" s="11"/>
    </row>
    <row r="405">
      <c r="B405" s="48"/>
      <c r="D405" s="49"/>
      <c r="E405" s="50"/>
      <c r="H405" s="51"/>
      <c r="I405" s="52"/>
      <c r="K405" s="53"/>
      <c r="L405" s="32"/>
      <c r="O405" s="11"/>
      <c r="Z405" s="11"/>
    </row>
    <row r="406">
      <c r="B406" s="48"/>
      <c r="D406" s="49"/>
      <c r="E406" s="50"/>
      <c r="H406" s="51"/>
      <c r="I406" s="52"/>
      <c r="K406" s="53"/>
      <c r="L406" s="32"/>
      <c r="O406" s="11"/>
      <c r="Z406" s="11"/>
    </row>
    <row r="407">
      <c r="B407" s="48"/>
      <c r="D407" s="49"/>
      <c r="E407" s="50"/>
      <c r="H407" s="51"/>
      <c r="I407" s="52"/>
      <c r="K407" s="53"/>
      <c r="L407" s="32"/>
      <c r="O407" s="11"/>
      <c r="Z407" s="11"/>
    </row>
    <row r="408">
      <c r="B408" s="48"/>
      <c r="D408" s="49"/>
      <c r="E408" s="50"/>
      <c r="H408" s="51"/>
      <c r="I408" s="52"/>
      <c r="K408" s="53"/>
      <c r="L408" s="32"/>
      <c r="O408" s="11"/>
      <c r="Z408" s="11"/>
    </row>
    <row r="409">
      <c r="B409" s="48"/>
      <c r="D409" s="49"/>
      <c r="E409" s="50"/>
      <c r="H409" s="51"/>
      <c r="I409" s="52"/>
      <c r="K409" s="53"/>
      <c r="L409" s="32"/>
      <c r="O409" s="11"/>
      <c r="Z409" s="11"/>
    </row>
    <row r="410">
      <c r="B410" s="48"/>
      <c r="D410" s="49"/>
      <c r="E410" s="50"/>
      <c r="H410" s="51"/>
      <c r="I410" s="52"/>
      <c r="K410" s="53"/>
      <c r="L410" s="32"/>
      <c r="O410" s="11"/>
      <c r="Z410" s="11"/>
    </row>
    <row r="411">
      <c r="B411" s="48"/>
      <c r="D411" s="49"/>
      <c r="E411" s="50"/>
      <c r="H411" s="51"/>
      <c r="I411" s="52"/>
      <c r="K411" s="53"/>
      <c r="L411" s="32"/>
      <c r="O411" s="11"/>
      <c r="Z411" s="11"/>
    </row>
    <row r="412">
      <c r="B412" s="48"/>
      <c r="D412" s="49"/>
      <c r="E412" s="50"/>
      <c r="H412" s="51"/>
      <c r="I412" s="52"/>
      <c r="K412" s="53"/>
      <c r="L412" s="32"/>
      <c r="O412" s="11"/>
      <c r="Z412" s="11"/>
    </row>
    <row r="413">
      <c r="B413" s="48"/>
      <c r="D413" s="49"/>
      <c r="E413" s="50"/>
      <c r="H413" s="51"/>
      <c r="I413" s="52"/>
      <c r="K413" s="53"/>
      <c r="L413" s="32"/>
      <c r="O413" s="11"/>
      <c r="Z413" s="11"/>
    </row>
    <row r="414">
      <c r="B414" s="48"/>
      <c r="D414" s="49"/>
      <c r="E414" s="50"/>
      <c r="H414" s="51"/>
      <c r="I414" s="52"/>
      <c r="K414" s="53"/>
      <c r="L414" s="32"/>
      <c r="O414" s="11"/>
      <c r="Z414" s="11"/>
    </row>
    <row r="415">
      <c r="B415" s="48"/>
      <c r="D415" s="49"/>
      <c r="E415" s="50"/>
      <c r="H415" s="51"/>
      <c r="I415" s="52"/>
      <c r="K415" s="53"/>
      <c r="L415" s="32"/>
      <c r="O415" s="11"/>
      <c r="Z415" s="11"/>
    </row>
    <row r="416">
      <c r="B416" s="48"/>
      <c r="D416" s="49"/>
      <c r="E416" s="50"/>
      <c r="H416" s="51"/>
      <c r="I416" s="52"/>
      <c r="K416" s="53"/>
      <c r="L416" s="32"/>
      <c r="O416" s="11"/>
      <c r="Z416" s="11"/>
    </row>
    <row r="417">
      <c r="B417" s="48"/>
      <c r="D417" s="49"/>
      <c r="E417" s="50"/>
      <c r="H417" s="51"/>
      <c r="I417" s="52"/>
      <c r="K417" s="53"/>
      <c r="L417" s="32"/>
      <c r="O417" s="11"/>
      <c r="Z417" s="11"/>
    </row>
    <row r="418">
      <c r="B418" s="48"/>
      <c r="D418" s="49"/>
      <c r="E418" s="50"/>
      <c r="H418" s="51"/>
      <c r="I418" s="52"/>
      <c r="K418" s="53"/>
      <c r="L418" s="32"/>
      <c r="O418" s="11"/>
      <c r="Z418" s="11"/>
    </row>
    <row r="419">
      <c r="B419" s="48"/>
      <c r="D419" s="49"/>
      <c r="E419" s="50"/>
      <c r="H419" s="51"/>
      <c r="I419" s="52"/>
      <c r="K419" s="53"/>
      <c r="L419" s="32"/>
      <c r="O419" s="11"/>
      <c r="Z419" s="11"/>
    </row>
    <row r="420">
      <c r="B420" s="48"/>
      <c r="D420" s="49"/>
      <c r="E420" s="50"/>
      <c r="H420" s="51"/>
      <c r="I420" s="52"/>
      <c r="K420" s="53"/>
      <c r="L420" s="32"/>
      <c r="O420" s="11"/>
      <c r="Z420" s="11"/>
    </row>
    <row r="421">
      <c r="B421" s="48"/>
      <c r="D421" s="49"/>
      <c r="E421" s="50"/>
      <c r="H421" s="51"/>
      <c r="I421" s="52"/>
      <c r="K421" s="53"/>
      <c r="L421" s="32"/>
      <c r="O421" s="11"/>
      <c r="Z421" s="11"/>
    </row>
    <row r="422">
      <c r="B422" s="48"/>
      <c r="D422" s="49"/>
      <c r="E422" s="50"/>
      <c r="H422" s="51"/>
      <c r="I422" s="52"/>
      <c r="K422" s="53"/>
      <c r="L422" s="32"/>
      <c r="O422" s="11"/>
      <c r="Z422" s="11"/>
    </row>
    <row r="423">
      <c r="B423" s="48"/>
      <c r="D423" s="49"/>
      <c r="E423" s="50"/>
      <c r="H423" s="51"/>
      <c r="I423" s="52"/>
      <c r="K423" s="53"/>
      <c r="L423" s="32"/>
      <c r="O423" s="11"/>
      <c r="Z423" s="11"/>
    </row>
    <row r="424">
      <c r="B424" s="48"/>
      <c r="D424" s="49"/>
      <c r="E424" s="50"/>
      <c r="H424" s="51"/>
      <c r="I424" s="52"/>
      <c r="K424" s="53"/>
      <c r="L424" s="32"/>
      <c r="O424" s="11"/>
      <c r="Z424" s="11"/>
    </row>
    <row r="425">
      <c r="B425" s="48"/>
      <c r="D425" s="49"/>
      <c r="E425" s="50"/>
      <c r="H425" s="51"/>
      <c r="I425" s="52"/>
      <c r="K425" s="53"/>
      <c r="L425" s="32"/>
      <c r="O425" s="11"/>
      <c r="Z425" s="11"/>
    </row>
    <row r="426">
      <c r="B426" s="48"/>
      <c r="D426" s="49"/>
      <c r="E426" s="50"/>
      <c r="H426" s="51"/>
      <c r="I426" s="52"/>
      <c r="K426" s="53"/>
      <c r="L426" s="32"/>
      <c r="O426" s="11"/>
      <c r="Z426" s="11"/>
    </row>
    <row r="427">
      <c r="B427" s="48"/>
      <c r="D427" s="49"/>
      <c r="E427" s="50"/>
      <c r="H427" s="51"/>
      <c r="I427" s="52"/>
      <c r="K427" s="53"/>
      <c r="L427" s="32"/>
      <c r="O427" s="11"/>
      <c r="Z427" s="11"/>
    </row>
    <row r="428">
      <c r="B428" s="48"/>
      <c r="D428" s="49"/>
      <c r="E428" s="50"/>
      <c r="H428" s="51"/>
      <c r="I428" s="52"/>
      <c r="K428" s="53"/>
      <c r="L428" s="32"/>
      <c r="O428" s="11"/>
      <c r="Z428" s="11"/>
    </row>
    <row r="429">
      <c r="B429" s="48"/>
      <c r="D429" s="49"/>
      <c r="E429" s="50"/>
      <c r="H429" s="51"/>
      <c r="I429" s="52"/>
      <c r="K429" s="53"/>
      <c r="L429" s="32"/>
      <c r="O429" s="11"/>
      <c r="Z429" s="11"/>
    </row>
    <row r="430">
      <c r="B430" s="48"/>
      <c r="D430" s="49"/>
      <c r="E430" s="50"/>
      <c r="H430" s="51"/>
      <c r="I430" s="52"/>
      <c r="K430" s="53"/>
      <c r="L430" s="32"/>
      <c r="O430" s="11"/>
      <c r="Z430" s="11"/>
    </row>
    <row r="431">
      <c r="B431" s="48"/>
      <c r="D431" s="49"/>
      <c r="E431" s="50"/>
      <c r="H431" s="51"/>
      <c r="I431" s="52"/>
      <c r="K431" s="53"/>
      <c r="L431" s="32"/>
      <c r="O431" s="11"/>
      <c r="Z431" s="11"/>
    </row>
    <row r="432">
      <c r="B432" s="48"/>
      <c r="D432" s="49"/>
      <c r="E432" s="50"/>
      <c r="H432" s="51"/>
      <c r="I432" s="52"/>
      <c r="K432" s="53"/>
      <c r="L432" s="32"/>
      <c r="O432" s="11"/>
      <c r="Z432" s="11"/>
    </row>
    <row r="433">
      <c r="B433" s="48"/>
      <c r="D433" s="49"/>
      <c r="E433" s="50"/>
      <c r="H433" s="51"/>
      <c r="I433" s="52"/>
      <c r="K433" s="53"/>
      <c r="L433" s="32"/>
      <c r="O433" s="11"/>
      <c r="Z433" s="11"/>
    </row>
    <row r="434">
      <c r="B434" s="48"/>
      <c r="D434" s="49"/>
      <c r="E434" s="50"/>
      <c r="H434" s="51"/>
      <c r="I434" s="52"/>
      <c r="K434" s="53"/>
      <c r="L434" s="32"/>
      <c r="O434" s="11"/>
      <c r="Z434" s="11"/>
    </row>
    <row r="435">
      <c r="B435" s="48"/>
      <c r="D435" s="49"/>
      <c r="E435" s="50"/>
      <c r="H435" s="51"/>
      <c r="I435" s="52"/>
      <c r="K435" s="53"/>
      <c r="L435" s="32"/>
      <c r="O435" s="11"/>
      <c r="Z435" s="11"/>
    </row>
    <row r="436">
      <c r="B436" s="48"/>
      <c r="D436" s="49"/>
      <c r="E436" s="50"/>
      <c r="H436" s="51"/>
      <c r="I436" s="52"/>
      <c r="K436" s="53"/>
      <c r="L436" s="32"/>
      <c r="O436" s="11"/>
      <c r="Z436" s="11"/>
    </row>
    <row r="437">
      <c r="B437" s="48"/>
      <c r="D437" s="49"/>
      <c r="E437" s="50"/>
      <c r="H437" s="51"/>
      <c r="I437" s="52"/>
      <c r="K437" s="53"/>
      <c r="L437" s="32"/>
      <c r="O437" s="11"/>
      <c r="Z437" s="11"/>
    </row>
    <row r="438">
      <c r="B438" s="48"/>
      <c r="D438" s="49"/>
      <c r="E438" s="50"/>
      <c r="H438" s="51"/>
      <c r="I438" s="52"/>
      <c r="K438" s="53"/>
      <c r="L438" s="32"/>
      <c r="O438" s="11"/>
      <c r="Z438" s="11"/>
    </row>
    <row r="439">
      <c r="B439" s="48"/>
      <c r="D439" s="49"/>
      <c r="E439" s="50"/>
      <c r="H439" s="51"/>
      <c r="I439" s="52"/>
      <c r="K439" s="53"/>
      <c r="L439" s="32"/>
      <c r="O439" s="11"/>
      <c r="Z439" s="11"/>
    </row>
    <row r="440">
      <c r="B440" s="48"/>
      <c r="D440" s="49"/>
      <c r="E440" s="50"/>
      <c r="H440" s="51"/>
      <c r="I440" s="52"/>
      <c r="K440" s="53"/>
      <c r="L440" s="32"/>
      <c r="O440" s="11"/>
      <c r="Z440" s="11"/>
    </row>
    <row r="441">
      <c r="B441" s="48"/>
      <c r="D441" s="49"/>
      <c r="E441" s="50"/>
      <c r="H441" s="51"/>
      <c r="I441" s="52"/>
      <c r="K441" s="53"/>
      <c r="L441" s="32"/>
      <c r="O441" s="11"/>
      <c r="Z441" s="11"/>
    </row>
    <row r="442">
      <c r="B442" s="48"/>
      <c r="D442" s="49"/>
      <c r="E442" s="50"/>
      <c r="H442" s="51"/>
      <c r="I442" s="52"/>
      <c r="K442" s="53"/>
      <c r="L442" s="32"/>
      <c r="O442" s="11"/>
      <c r="Z442" s="11"/>
    </row>
    <row r="443">
      <c r="B443" s="48"/>
      <c r="D443" s="49"/>
      <c r="E443" s="50"/>
      <c r="H443" s="51"/>
      <c r="I443" s="52"/>
      <c r="K443" s="53"/>
      <c r="L443" s="32"/>
      <c r="O443" s="11"/>
      <c r="Z443" s="11"/>
    </row>
    <row r="444">
      <c r="B444" s="48"/>
      <c r="D444" s="49"/>
      <c r="E444" s="50"/>
      <c r="H444" s="51"/>
      <c r="I444" s="52"/>
      <c r="K444" s="53"/>
      <c r="L444" s="32"/>
      <c r="O444" s="11"/>
      <c r="Z444" s="11"/>
    </row>
    <row r="445">
      <c r="B445" s="48"/>
      <c r="D445" s="49"/>
      <c r="E445" s="50"/>
      <c r="H445" s="51"/>
      <c r="I445" s="52"/>
      <c r="K445" s="53"/>
      <c r="L445" s="32"/>
      <c r="O445" s="11"/>
      <c r="Z445" s="11"/>
    </row>
    <row r="446">
      <c r="B446" s="48"/>
      <c r="D446" s="49"/>
      <c r="E446" s="50"/>
      <c r="H446" s="51"/>
      <c r="I446" s="52"/>
      <c r="K446" s="53"/>
      <c r="L446" s="32"/>
      <c r="O446" s="11"/>
      <c r="Z446" s="11"/>
    </row>
    <row r="447">
      <c r="B447" s="48"/>
      <c r="D447" s="49"/>
      <c r="E447" s="50"/>
      <c r="H447" s="51"/>
      <c r="I447" s="52"/>
      <c r="K447" s="53"/>
      <c r="L447" s="32"/>
      <c r="O447" s="11"/>
      <c r="Z447" s="11"/>
    </row>
    <row r="448">
      <c r="B448" s="48"/>
      <c r="D448" s="49"/>
      <c r="E448" s="50"/>
      <c r="H448" s="51"/>
      <c r="I448" s="52"/>
      <c r="K448" s="53"/>
      <c r="L448" s="32"/>
      <c r="O448" s="11"/>
      <c r="Z448" s="11"/>
    </row>
    <row r="449">
      <c r="B449" s="48"/>
      <c r="D449" s="49"/>
      <c r="E449" s="50"/>
      <c r="H449" s="51"/>
      <c r="I449" s="52"/>
      <c r="K449" s="53"/>
      <c r="L449" s="32"/>
      <c r="O449" s="11"/>
      <c r="Z449" s="11"/>
    </row>
    <row r="450">
      <c r="B450" s="48"/>
      <c r="D450" s="49"/>
      <c r="E450" s="50"/>
      <c r="H450" s="51"/>
      <c r="I450" s="52"/>
      <c r="K450" s="53"/>
      <c r="L450" s="32"/>
      <c r="O450" s="11"/>
      <c r="Z450" s="11"/>
    </row>
    <row r="451">
      <c r="B451" s="48"/>
      <c r="D451" s="49"/>
      <c r="E451" s="50"/>
      <c r="H451" s="51"/>
      <c r="I451" s="52"/>
      <c r="K451" s="53"/>
      <c r="L451" s="32"/>
      <c r="O451" s="11"/>
      <c r="Z451" s="11"/>
    </row>
    <row r="452">
      <c r="B452" s="48"/>
      <c r="D452" s="49"/>
      <c r="E452" s="50"/>
      <c r="H452" s="51"/>
      <c r="I452" s="52"/>
      <c r="K452" s="53"/>
      <c r="L452" s="32"/>
      <c r="O452" s="11"/>
      <c r="Z452" s="11"/>
    </row>
    <row r="453">
      <c r="B453" s="48"/>
      <c r="D453" s="49"/>
      <c r="E453" s="50"/>
      <c r="H453" s="51"/>
      <c r="I453" s="52"/>
      <c r="K453" s="53"/>
      <c r="L453" s="32"/>
      <c r="O453" s="11"/>
      <c r="Z453" s="11"/>
    </row>
    <row r="454">
      <c r="B454" s="48"/>
      <c r="D454" s="49"/>
      <c r="E454" s="50"/>
      <c r="H454" s="51"/>
      <c r="I454" s="52"/>
      <c r="K454" s="53"/>
      <c r="L454" s="32"/>
      <c r="O454" s="11"/>
      <c r="Z454" s="11"/>
    </row>
    <row r="455">
      <c r="B455" s="48"/>
      <c r="D455" s="49"/>
      <c r="E455" s="50"/>
      <c r="H455" s="51"/>
      <c r="I455" s="52"/>
      <c r="K455" s="53"/>
      <c r="L455" s="32"/>
      <c r="O455" s="11"/>
      <c r="Z455" s="11"/>
    </row>
    <row r="456">
      <c r="B456" s="48"/>
      <c r="D456" s="49"/>
      <c r="E456" s="50"/>
      <c r="H456" s="51"/>
      <c r="I456" s="52"/>
      <c r="K456" s="53"/>
      <c r="L456" s="32"/>
      <c r="O456" s="11"/>
      <c r="Z456" s="11"/>
    </row>
    <row r="457">
      <c r="B457" s="48"/>
      <c r="D457" s="49"/>
      <c r="E457" s="50"/>
      <c r="H457" s="51"/>
      <c r="I457" s="52"/>
      <c r="K457" s="53"/>
      <c r="L457" s="32"/>
      <c r="O457" s="11"/>
      <c r="Z457" s="11"/>
    </row>
    <row r="458">
      <c r="B458" s="48"/>
      <c r="D458" s="49"/>
      <c r="E458" s="50"/>
      <c r="H458" s="51"/>
      <c r="I458" s="52"/>
      <c r="K458" s="53"/>
      <c r="L458" s="32"/>
      <c r="O458" s="11"/>
      <c r="Z458" s="11"/>
    </row>
    <row r="459">
      <c r="B459" s="48"/>
      <c r="D459" s="49"/>
      <c r="E459" s="50"/>
      <c r="H459" s="51"/>
      <c r="I459" s="52"/>
      <c r="K459" s="53"/>
      <c r="L459" s="32"/>
      <c r="O459" s="11"/>
      <c r="Z459" s="11"/>
    </row>
    <row r="460">
      <c r="B460" s="48"/>
      <c r="D460" s="49"/>
      <c r="E460" s="50"/>
      <c r="H460" s="51"/>
      <c r="I460" s="52"/>
      <c r="K460" s="53"/>
      <c r="L460" s="32"/>
      <c r="O460" s="11"/>
      <c r="Z460" s="11"/>
    </row>
    <row r="461">
      <c r="B461" s="48"/>
      <c r="D461" s="49"/>
      <c r="E461" s="50"/>
      <c r="H461" s="51"/>
      <c r="I461" s="52"/>
      <c r="K461" s="53"/>
      <c r="L461" s="32"/>
      <c r="O461" s="11"/>
      <c r="Z461" s="11"/>
    </row>
    <row r="462">
      <c r="B462" s="48"/>
      <c r="D462" s="49"/>
      <c r="E462" s="50"/>
      <c r="H462" s="51"/>
      <c r="I462" s="52"/>
      <c r="K462" s="53"/>
      <c r="L462" s="32"/>
      <c r="O462" s="11"/>
      <c r="Z462" s="11"/>
    </row>
    <row r="463">
      <c r="B463" s="48"/>
      <c r="D463" s="49"/>
      <c r="E463" s="50"/>
      <c r="H463" s="51"/>
      <c r="I463" s="52"/>
      <c r="K463" s="53"/>
      <c r="L463" s="32"/>
      <c r="O463" s="11"/>
      <c r="Z463" s="11"/>
    </row>
    <row r="464">
      <c r="B464" s="48"/>
      <c r="D464" s="49"/>
      <c r="E464" s="50"/>
      <c r="H464" s="51"/>
      <c r="I464" s="52"/>
      <c r="K464" s="53"/>
      <c r="L464" s="32"/>
      <c r="O464" s="11"/>
      <c r="Z464" s="11"/>
    </row>
    <row r="465">
      <c r="B465" s="48"/>
      <c r="D465" s="49"/>
      <c r="E465" s="50"/>
      <c r="H465" s="51"/>
      <c r="I465" s="52"/>
      <c r="K465" s="53"/>
      <c r="L465" s="32"/>
      <c r="O465" s="11"/>
      <c r="Z465" s="11"/>
    </row>
    <row r="466">
      <c r="B466" s="48"/>
      <c r="D466" s="49"/>
      <c r="E466" s="50"/>
      <c r="H466" s="51"/>
      <c r="I466" s="52"/>
      <c r="K466" s="53"/>
      <c r="L466" s="32"/>
      <c r="O466" s="11"/>
      <c r="Z466" s="11"/>
    </row>
    <row r="467">
      <c r="B467" s="48"/>
      <c r="D467" s="49"/>
      <c r="E467" s="50"/>
      <c r="H467" s="51"/>
      <c r="I467" s="52"/>
      <c r="K467" s="53"/>
      <c r="L467" s="32"/>
      <c r="O467" s="11"/>
      <c r="Z467" s="11"/>
    </row>
    <row r="468">
      <c r="B468" s="48"/>
      <c r="D468" s="49"/>
      <c r="E468" s="50"/>
      <c r="H468" s="51"/>
      <c r="I468" s="52"/>
      <c r="K468" s="53"/>
      <c r="L468" s="32"/>
      <c r="O468" s="11"/>
      <c r="Z468" s="11"/>
    </row>
    <row r="469">
      <c r="B469" s="48"/>
      <c r="D469" s="49"/>
      <c r="E469" s="50"/>
      <c r="H469" s="51"/>
      <c r="I469" s="52"/>
      <c r="K469" s="53"/>
      <c r="L469" s="32"/>
      <c r="O469" s="11"/>
      <c r="Z469" s="11"/>
    </row>
    <row r="470">
      <c r="B470" s="48"/>
      <c r="D470" s="49"/>
      <c r="E470" s="50"/>
      <c r="H470" s="51"/>
      <c r="I470" s="52"/>
      <c r="K470" s="53"/>
      <c r="L470" s="32"/>
      <c r="O470" s="11"/>
      <c r="Z470" s="11"/>
    </row>
    <row r="471">
      <c r="B471" s="48"/>
      <c r="D471" s="49"/>
      <c r="E471" s="50"/>
      <c r="H471" s="51"/>
      <c r="I471" s="52"/>
      <c r="K471" s="53"/>
      <c r="L471" s="32"/>
      <c r="O471" s="11"/>
      <c r="Z471" s="11"/>
    </row>
    <row r="472">
      <c r="B472" s="48"/>
      <c r="D472" s="49"/>
      <c r="E472" s="50"/>
      <c r="H472" s="51"/>
      <c r="I472" s="52"/>
      <c r="K472" s="53"/>
      <c r="L472" s="32"/>
      <c r="O472" s="11"/>
      <c r="Z472" s="11"/>
    </row>
    <row r="473">
      <c r="B473" s="48"/>
      <c r="D473" s="49"/>
      <c r="E473" s="50"/>
      <c r="H473" s="51"/>
      <c r="I473" s="52"/>
      <c r="K473" s="53"/>
      <c r="L473" s="32"/>
      <c r="O473" s="11"/>
      <c r="Z473" s="11"/>
    </row>
    <row r="474">
      <c r="B474" s="48"/>
      <c r="D474" s="49"/>
      <c r="E474" s="50"/>
      <c r="H474" s="51"/>
      <c r="I474" s="52"/>
      <c r="K474" s="53"/>
      <c r="L474" s="32"/>
      <c r="O474" s="11"/>
      <c r="Z474" s="11"/>
    </row>
    <row r="475">
      <c r="B475" s="48"/>
      <c r="D475" s="49"/>
      <c r="E475" s="50"/>
      <c r="H475" s="51"/>
      <c r="I475" s="52"/>
      <c r="K475" s="53"/>
      <c r="L475" s="32"/>
      <c r="O475" s="11"/>
      <c r="Z475" s="11"/>
    </row>
    <row r="476">
      <c r="B476" s="48"/>
      <c r="D476" s="49"/>
      <c r="E476" s="50"/>
      <c r="H476" s="51"/>
      <c r="I476" s="52"/>
      <c r="K476" s="53"/>
      <c r="L476" s="32"/>
      <c r="O476" s="11"/>
      <c r="Z476" s="11"/>
    </row>
    <row r="477">
      <c r="B477" s="48"/>
      <c r="D477" s="49"/>
      <c r="E477" s="50"/>
      <c r="H477" s="51"/>
      <c r="I477" s="52"/>
      <c r="K477" s="53"/>
      <c r="L477" s="32"/>
      <c r="O477" s="11"/>
      <c r="Z477" s="11"/>
    </row>
    <row r="478">
      <c r="B478" s="48"/>
      <c r="D478" s="49"/>
      <c r="E478" s="50"/>
      <c r="H478" s="51"/>
      <c r="I478" s="52"/>
      <c r="K478" s="53"/>
      <c r="L478" s="32"/>
      <c r="O478" s="11"/>
      <c r="Z478" s="11"/>
    </row>
    <row r="479">
      <c r="B479" s="48"/>
      <c r="D479" s="49"/>
      <c r="E479" s="50"/>
      <c r="H479" s="51"/>
      <c r="I479" s="52"/>
      <c r="K479" s="53"/>
      <c r="L479" s="32"/>
      <c r="O479" s="11"/>
      <c r="Z479" s="11"/>
    </row>
    <row r="480">
      <c r="B480" s="48"/>
      <c r="D480" s="49"/>
      <c r="E480" s="50"/>
      <c r="H480" s="51"/>
      <c r="I480" s="52"/>
      <c r="K480" s="53"/>
      <c r="L480" s="32"/>
      <c r="O480" s="11"/>
      <c r="Z480" s="11"/>
    </row>
    <row r="481">
      <c r="B481" s="48"/>
      <c r="D481" s="49"/>
      <c r="E481" s="50"/>
      <c r="H481" s="51"/>
      <c r="I481" s="52"/>
      <c r="K481" s="53"/>
      <c r="L481" s="32"/>
      <c r="O481" s="11"/>
      <c r="Z481" s="11"/>
    </row>
    <row r="482">
      <c r="B482" s="48"/>
      <c r="D482" s="49"/>
      <c r="E482" s="50"/>
      <c r="H482" s="51"/>
      <c r="I482" s="52"/>
      <c r="K482" s="53"/>
      <c r="L482" s="32"/>
      <c r="O482" s="11"/>
      <c r="Z482" s="11"/>
    </row>
    <row r="483">
      <c r="B483" s="48"/>
      <c r="D483" s="49"/>
      <c r="E483" s="50"/>
      <c r="H483" s="51"/>
      <c r="I483" s="52"/>
      <c r="K483" s="53"/>
      <c r="L483" s="32"/>
      <c r="O483" s="11"/>
      <c r="Z483" s="11"/>
    </row>
    <row r="484">
      <c r="B484" s="48"/>
      <c r="D484" s="49"/>
      <c r="E484" s="50"/>
      <c r="H484" s="51"/>
      <c r="I484" s="52"/>
      <c r="K484" s="53"/>
      <c r="L484" s="32"/>
      <c r="O484" s="11"/>
      <c r="Z484" s="11"/>
    </row>
    <row r="485">
      <c r="B485" s="48"/>
      <c r="D485" s="49"/>
      <c r="E485" s="50"/>
      <c r="H485" s="51"/>
      <c r="I485" s="52"/>
      <c r="K485" s="53"/>
      <c r="L485" s="32"/>
      <c r="O485" s="11"/>
      <c r="Z485" s="11"/>
    </row>
    <row r="486">
      <c r="B486" s="48"/>
      <c r="D486" s="49"/>
      <c r="E486" s="50"/>
      <c r="H486" s="51"/>
      <c r="I486" s="52"/>
      <c r="K486" s="53"/>
      <c r="L486" s="32"/>
      <c r="O486" s="11"/>
      <c r="Z486" s="11"/>
    </row>
    <row r="487">
      <c r="B487" s="48"/>
      <c r="D487" s="49"/>
      <c r="E487" s="50"/>
      <c r="H487" s="51"/>
      <c r="I487" s="52"/>
      <c r="K487" s="53"/>
      <c r="L487" s="32"/>
      <c r="O487" s="11"/>
      <c r="Z487" s="11"/>
    </row>
    <row r="488">
      <c r="B488" s="48"/>
      <c r="D488" s="49"/>
      <c r="E488" s="50"/>
      <c r="H488" s="51"/>
      <c r="I488" s="52"/>
      <c r="K488" s="53"/>
      <c r="L488" s="32"/>
      <c r="O488" s="11"/>
      <c r="Z488" s="11"/>
    </row>
    <row r="489">
      <c r="B489" s="48"/>
      <c r="D489" s="49"/>
      <c r="E489" s="50"/>
      <c r="H489" s="51"/>
      <c r="I489" s="52"/>
      <c r="K489" s="53"/>
      <c r="L489" s="32"/>
      <c r="O489" s="11"/>
      <c r="Z489" s="11"/>
    </row>
    <row r="490">
      <c r="B490" s="48"/>
      <c r="D490" s="49"/>
      <c r="E490" s="50"/>
      <c r="H490" s="51"/>
      <c r="I490" s="52"/>
      <c r="K490" s="53"/>
      <c r="L490" s="32"/>
      <c r="O490" s="11"/>
      <c r="Z490" s="11"/>
    </row>
    <row r="491">
      <c r="B491" s="48"/>
      <c r="D491" s="49"/>
      <c r="E491" s="50"/>
      <c r="H491" s="51"/>
      <c r="I491" s="52"/>
      <c r="K491" s="53"/>
      <c r="L491" s="32"/>
      <c r="O491" s="11"/>
      <c r="Z491" s="11"/>
    </row>
    <row r="492">
      <c r="B492" s="48"/>
      <c r="D492" s="49"/>
      <c r="E492" s="50"/>
      <c r="H492" s="51"/>
      <c r="I492" s="52"/>
      <c r="K492" s="53"/>
      <c r="L492" s="32"/>
      <c r="O492" s="11"/>
      <c r="Z492" s="11"/>
    </row>
    <row r="493">
      <c r="B493" s="48"/>
      <c r="D493" s="49"/>
      <c r="E493" s="50"/>
      <c r="H493" s="51"/>
      <c r="I493" s="52"/>
      <c r="K493" s="53"/>
      <c r="L493" s="32"/>
      <c r="O493" s="11"/>
      <c r="Z493" s="11"/>
    </row>
    <row r="494">
      <c r="B494" s="48"/>
      <c r="D494" s="49"/>
      <c r="E494" s="50"/>
      <c r="H494" s="51"/>
      <c r="I494" s="52"/>
      <c r="K494" s="53"/>
      <c r="L494" s="32"/>
      <c r="O494" s="11"/>
      <c r="Z494" s="11"/>
    </row>
    <row r="495">
      <c r="B495" s="48"/>
      <c r="D495" s="49"/>
      <c r="E495" s="50"/>
      <c r="H495" s="51"/>
      <c r="I495" s="52"/>
      <c r="K495" s="53"/>
      <c r="L495" s="32"/>
      <c r="O495" s="11"/>
      <c r="Z495" s="11"/>
    </row>
    <row r="496">
      <c r="B496" s="48"/>
      <c r="D496" s="49"/>
      <c r="E496" s="50"/>
      <c r="H496" s="51"/>
      <c r="I496" s="52"/>
      <c r="K496" s="53"/>
      <c r="L496" s="32"/>
      <c r="O496" s="11"/>
      <c r="Z496" s="11"/>
    </row>
    <row r="497">
      <c r="B497" s="48"/>
      <c r="D497" s="49"/>
      <c r="E497" s="50"/>
      <c r="H497" s="51"/>
      <c r="I497" s="52"/>
      <c r="K497" s="53"/>
      <c r="L497" s="32"/>
      <c r="O497" s="11"/>
      <c r="Z497" s="11"/>
    </row>
    <row r="498">
      <c r="B498" s="48"/>
      <c r="D498" s="49"/>
      <c r="E498" s="50"/>
      <c r="H498" s="51"/>
      <c r="I498" s="52"/>
      <c r="K498" s="53"/>
      <c r="L498" s="32"/>
      <c r="O498" s="11"/>
      <c r="Z498" s="11"/>
    </row>
    <row r="499">
      <c r="B499" s="48"/>
      <c r="D499" s="49"/>
      <c r="E499" s="50"/>
      <c r="H499" s="51"/>
      <c r="I499" s="52"/>
      <c r="K499" s="53"/>
      <c r="L499" s="32"/>
      <c r="O499" s="11"/>
      <c r="Z499" s="11"/>
    </row>
    <row r="500">
      <c r="B500" s="48"/>
      <c r="D500" s="49"/>
      <c r="E500" s="50"/>
      <c r="H500" s="51"/>
      <c r="I500" s="52"/>
      <c r="K500" s="53"/>
      <c r="L500" s="32"/>
      <c r="O500" s="11"/>
      <c r="Z500" s="11"/>
    </row>
    <row r="501">
      <c r="B501" s="48"/>
      <c r="D501" s="49"/>
      <c r="E501" s="50"/>
      <c r="H501" s="51"/>
      <c r="I501" s="52"/>
      <c r="K501" s="53"/>
      <c r="L501" s="32"/>
      <c r="O501" s="11"/>
      <c r="Z501" s="11"/>
    </row>
    <row r="502">
      <c r="B502" s="48"/>
      <c r="D502" s="49"/>
      <c r="E502" s="50"/>
      <c r="H502" s="51"/>
      <c r="I502" s="52"/>
      <c r="K502" s="53"/>
      <c r="L502" s="32"/>
      <c r="O502" s="11"/>
      <c r="Z502" s="11"/>
    </row>
    <row r="503">
      <c r="B503" s="48"/>
      <c r="D503" s="49"/>
      <c r="E503" s="50"/>
      <c r="H503" s="51"/>
      <c r="I503" s="52"/>
      <c r="K503" s="53"/>
      <c r="L503" s="32"/>
      <c r="O503" s="11"/>
      <c r="Z503" s="11"/>
    </row>
    <row r="504">
      <c r="B504" s="48"/>
      <c r="D504" s="49"/>
      <c r="E504" s="50"/>
      <c r="H504" s="51"/>
      <c r="I504" s="52"/>
      <c r="K504" s="53"/>
      <c r="L504" s="32"/>
      <c r="O504" s="11"/>
      <c r="Z504" s="11"/>
    </row>
    <row r="505">
      <c r="B505" s="48"/>
      <c r="D505" s="49"/>
      <c r="E505" s="50"/>
      <c r="H505" s="51"/>
      <c r="I505" s="52"/>
      <c r="K505" s="53"/>
      <c r="L505" s="32"/>
      <c r="O505" s="11"/>
      <c r="Z505" s="11"/>
    </row>
    <row r="506">
      <c r="B506" s="48"/>
      <c r="D506" s="49"/>
      <c r="E506" s="50"/>
      <c r="H506" s="51"/>
      <c r="I506" s="52"/>
      <c r="K506" s="53"/>
      <c r="L506" s="32"/>
      <c r="O506" s="11"/>
      <c r="Z506" s="11"/>
    </row>
    <row r="507">
      <c r="B507" s="48"/>
      <c r="D507" s="49"/>
      <c r="E507" s="50"/>
      <c r="H507" s="51"/>
      <c r="I507" s="52"/>
      <c r="K507" s="53"/>
      <c r="L507" s="32"/>
      <c r="O507" s="11"/>
      <c r="Z507" s="11"/>
    </row>
    <row r="508">
      <c r="B508" s="48"/>
      <c r="D508" s="49"/>
      <c r="E508" s="50"/>
      <c r="H508" s="51"/>
      <c r="I508" s="52"/>
      <c r="K508" s="53"/>
      <c r="L508" s="32"/>
      <c r="O508" s="11"/>
      <c r="Z508" s="11"/>
    </row>
    <row r="509">
      <c r="B509" s="48"/>
      <c r="D509" s="49"/>
      <c r="E509" s="50"/>
      <c r="H509" s="51"/>
      <c r="I509" s="52"/>
      <c r="K509" s="53"/>
      <c r="L509" s="32"/>
      <c r="O509" s="11"/>
      <c r="Z509" s="11"/>
    </row>
    <row r="510">
      <c r="B510" s="48"/>
      <c r="D510" s="49"/>
      <c r="E510" s="50"/>
      <c r="H510" s="51"/>
      <c r="I510" s="52"/>
      <c r="K510" s="53"/>
      <c r="L510" s="32"/>
      <c r="O510" s="11"/>
      <c r="Z510" s="11"/>
    </row>
    <row r="511">
      <c r="B511" s="48"/>
      <c r="D511" s="49"/>
      <c r="E511" s="50"/>
      <c r="H511" s="51"/>
      <c r="I511" s="52"/>
      <c r="K511" s="53"/>
      <c r="L511" s="32"/>
      <c r="O511" s="11"/>
      <c r="Z511" s="11"/>
    </row>
    <row r="512">
      <c r="B512" s="48"/>
      <c r="D512" s="49"/>
      <c r="E512" s="50"/>
      <c r="H512" s="51"/>
      <c r="I512" s="52"/>
      <c r="K512" s="53"/>
      <c r="L512" s="32"/>
      <c r="O512" s="11"/>
      <c r="Z512" s="11"/>
    </row>
    <row r="513">
      <c r="B513" s="48"/>
      <c r="D513" s="49"/>
      <c r="E513" s="50"/>
      <c r="H513" s="51"/>
      <c r="I513" s="52"/>
      <c r="K513" s="53"/>
      <c r="L513" s="32"/>
      <c r="O513" s="11"/>
      <c r="Z513" s="11"/>
    </row>
    <row r="514">
      <c r="B514" s="48"/>
      <c r="D514" s="49"/>
      <c r="E514" s="50"/>
      <c r="H514" s="51"/>
      <c r="I514" s="52"/>
      <c r="K514" s="53"/>
      <c r="L514" s="32"/>
      <c r="O514" s="11"/>
      <c r="Z514" s="11"/>
    </row>
    <row r="515">
      <c r="B515" s="48"/>
      <c r="D515" s="49"/>
      <c r="E515" s="50"/>
      <c r="H515" s="51"/>
      <c r="I515" s="52"/>
      <c r="K515" s="53"/>
      <c r="L515" s="32"/>
      <c r="O515" s="11"/>
      <c r="Z515" s="11"/>
    </row>
    <row r="516">
      <c r="B516" s="48"/>
      <c r="D516" s="49"/>
      <c r="E516" s="50"/>
      <c r="H516" s="51"/>
      <c r="I516" s="52"/>
      <c r="K516" s="53"/>
      <c r="L516" s="32"/>
      <c r="O516" s="11"/>
      <c r="Z516" s="11"/>
    </row>
    <row r="517">
      <c r="B517" s="48"/>
      <c r="D517" s="49"/>
      <c r="E517" s="50"/>
      <c r="H517" s="51"/>
      <c r="I517" s="52"/>
      <c r="K517" s="53"/>
      <c r="L517" s="32"/>
      <c r="O517" s="11"/>
      <c r="Z517" s="11"/>
    </row>
    <row r="518">
      <c r="B518" s="48"/>
      <c r="D518" s="49"/>
      <c r="E518" s="50"/>
      <c r="H518" s="51"/>
      <c r="I518" s="52"/>
      <c r="K518" s="53"/>
      <c r="L518" s="32"/>
      <c r="O518" s="11"/>
      <c r="Z518" s="11"/>
    </row>
    <row r="519">
      <c r="B519" s="48"/>
      <c r="D519" s="49"/>
      <c r="E519" s="50"/>
      <c r="H519" s="51"/>
      <c r="I519" s="52"/>
      <c r="K519" s="53"/>
      <c r="L519" s="32"/>
      <c r="O519" s="11"/>
      <c r="Z519" s="11"/>
    </row>
    <row r="520">
      <c r="B520" s="48"/>
      <c r="D520" s="49"/>
      <c r="E520" s="50"/>
      <c r="H520" s="51"/>
      <c r="I520" s="52"/>
      <c r="K520" s="53"/>
      <c r="L520" s="32"/>
      <c r="O520" s="11"/>
      <c r="Z520" s="11"/>
    </row>
    <row r="521">
      <c r="B521" s="48"/>
      <c r="D521" s="49"/>
      <c r="E521" s="50"/>
      <c r="H521" s="51"/>
      <c r="I521" s="52"/>
      <c r="K521" s="53"/>
      <c r="L521" s="32"/>
      <c r="O521" s="11"/>
      <c r="Z521" s="11"/>
    </row>
    <row r="522">
      <c r="B522" s="48"/>
      <c r="D522" s="49"/>
      <c r="E522" s="50"/>
      <c r="H522" s="51"/>
      <c r="I522" s="52"/>
      <c r="K522" s="53"/>
      <c r="L522" s="32"/>
      <c r="O522" s="11"/>
      <c r="Z522" s="11"/>
    </row>
    <row r="523">
      <c r="B523" s="48"/>
      <c r="D523" s="49"/>
      <c r="E523" s="50"/>
      <c r="H523" s="51"/>
      <c r="I523" s="52"/>
      <c r="K523" s="53"/>
      <c r="L523" s="32"/>
      <c r="O523" s="11"/>
      <c r="Z523" s="11"/>
    </row>
    <row r="524">
      <c r="B524" s="48"/>
      <c r="D524" s="49"/>
      <c r="E524" s="50"/>
      <c r="H524" s="51"/>
      <c r="I524" s="52"/>
      <c r="K524" s="53"/>
      <c r="L524" s="32"/>
      <c r="O524" s="11"/>
      <c r="Z524" s="11"/>
    </row>
    <row r="525">
      <c r="B525" s="48"/>
      <c r="D525" s="49"/>
      <c r="E525" s="50"/>
      <c r="H525" s="51"/>
      <c r="I525" s="52"/>
      <c r="K525" s="53"/>
      <c r="L525" s="32"/>
      <c r="O525" s="11"/>
      <c r="Z525" s="11"/>
    </row>
    <row r="526">
      <c r="B526" s="48"/>
      <c r="D526" s="49"/>
      <c r="E526" s="50"/>
      <c r="H526" s="51"/>
      <c r="I526" s="52"/>
      <c r="K526" s="53"/>
      <c r="L526" s="32"/>
      <c r="O526" s="11"/>
      <c r="Z526" s="11"/>
    </row>
    <row r="527">
      <c r="B527" s="48"/>
      <c r="D527" s="49"/>
      <c r="E527" s="50"/>
      <c r="H527" s="51"/>
      <c r="I527" s="52"/>
      <c r="K527" s="53"/>
      <c r="L527" s="32"/>
      <c r="O527" s="11"/>
      <c r="Z527" s="11"/>
    </row>
    <row r="528">
      <c r="B528" s="48"/>
      <c r="D528" s="49"/>
      <c r="E528" s="50"/>
      <c r="H528" s="51"/>
      <c r="I528" s="52"/>
      <c r="K528" s="53"/>
      <c r="L528" s="32"/>
      <c r="O528" s="11"/>
      <c r="Z528" s="11"/>
    </row>
    <row r="529">
      <c r="B529" s="48"/>
      <c r="D529" s="49"/>
      <c r="E529" s="50"/>
      <c r="H529" s="51"/>
      <c r="I529" s="52"/>
      <c r="K529" s="53"/>
      <c r="L529" s="32"/>
      <c r="O529" s="11"/>
      <c r="Z529" s="11"/>
    </row>
    <row r="530">
      <c r="B530" s="48"/>
      <c r="D530" s="49"/>
      <c r="E530" s="50"/>
      <c r="H530" s="51"/>
      <c r="I530" s="52"/>
      <c r="K530" s="53"/>
      <c r="L530" s="32"/>
      <c r="O530" s="11"/>
      <c r="Z530" s="11"/>
    </row>
    <row r="531">
      <c r="B531" s="48"/>
      <c r="D531" s="49"/>
      <c r="E531" s="50"/>
      <c r="H531" s="51"/>
      <c r="I531" s="52"/>
      <c r="K531" s="53"/>
      <c r="L531" s="32"/>
      <c r="O531" s="11"/>
      <c r="Z531" s="11"/>
    </row>
    <row r="532">
      <c r="B532" s="48"/>
      <c r="D532" s="49"/>
      <c r="E532" s="50"/>
      <c r="H532" s="51"/>
      <c r="I532" s="52"/>
      <c r="K532" s="53"/>
      <c r="L532" s="32"/>
      <c r="O532" s="11"/>
      <c r="Z532" s="11"/>
    </row>
    <row r="533">
      <c r="B533" s="48"/>
      <c r="D533" s="49"/>
      <c r="E533" s="50"/>
      <c r="H533" s="51"/>
      <c r="I533" s="52"/>
      <c r="K533" s="53"/>
      <c r="L533" s="32"/>
      <c r="O533" s="11"/>
      <c r="Z533" s="11"/>
    </row>
    <row r="534">
      <c r="B534" s="48"/>
      <c r="D534" s="49"/>
      <c r="E534" s="50"/>
      <c r="H534" s="51"/>
      <c r="I534" s="52"/>
      <c r="K534" s="53"/>
      <c r="L534" s="32"/>
      <c r="O534" s="11"/>
      <c r="Z534" s="11"/>
    </row>
    <row r="535">
      <c r="B535" s="48"/>
      <c r="D535" s="49"/>
      <c r="E535" s="50"/>
      <c r="H535" s="51"/>
      <c r="I535" s="52"/>
      <c r="K535" s="53"/>
      <c r="L535" s="32"/>
      <c r="O535" s="11"/>
      <c r="Z535" s="11"/>
    </row>
    <row r="536">
      <c r="B536" s="48"/>
      <c r="D536" s="49"/>
      <c r="E536" s="50"/>
      <c r="H536" s="51"/>
      <c r="I536" s="52"/>
      <c r="K536" s="53"/>
      <c r="L536" s="32"/>
      <c r="O536" s="11"/>
      <c r="Z536" s="11"/>
    </row>
    <row r="537">
      <c r="B537" s="48"/>
      <c r="D537" s="49"/>
      <c r="E537" s="50"/>
      <c r="H537" s="51"/>
      <c r="I537" s="52"/>
      <c r="K537" s="53"/>
      <c r="L537" s="32"/>
      <c r="O537" s="11"/>
      <c r="Z537" s="11"/>
    </row>
    <row r="538">
      <c r="B538" s="48"/>
      <c r="D538" s="49"/>
      <c r="E538" s="50"/>
      <c r="H538" s="51"/>
      <c r="I538" s="52"/>
      <c r="K538" s="53"/>
      <c r="L538" s="32"/>
      <c r="O538" s="11"/>
      <c r="Z538" s="11"/>
    </row>
    <row r="539">
      <c r="B539" s="48"/>
      <c r="D539" s="49"/>
      <c r="E539" s="50"/>
      <c r="H539" s="51"/>
      <c r="I539" s="52"/>
      <c r="K539" s="53"/>
      <c r="L539" s="32"/>
      <c r="O539" s="11"/>
      <c r="Z539" s="11"/>
    </row>
    <row r="540">
      <c r="B540" s="48"/>
      <c r="D540" s="49"/>
      <c r="E540" s="50"/>
      <c r="H540" s="51"/>
      <c r="I540" s="52"/>
      <c r="K540" s="53"/>
      <c r="L540" s="32"/>
      <c r="O540" s="11"/>
      <c r="Z540" s="11"/>
    </row>
    <row r="541">
      <c r="B541" s="48"/>
      <c r="D541" s="49"/>
      <c r="E541" s="50"/>
      <c r="H541" s="51"/>
      <c r="I541" s="52"/>
      <c r="K541" s="53"/>
      <c r="L541" s="32"/>
      <c r="O541" s="11"/>
      <c r="Z541" s="11"/>
    </row>
    <row r="542">
      <c r="B542" s="48"/>
      <c r="D542" s="49"/>
      <c r="E542" s="50"/>
      <c r="H542" s="51"/>
      <c r="I542" s="52"/>
      <c r="K542" s="53"/>
      <c r="L542" s="32"/>
      <c r="O542" s="11"/>
      <c r="Z542" s="11"/>
    </row>
    <row r="543">
      <c r="B543" s="48"/>
      <c r="D543" s="49"/>
      <c r="E543" s="50"/>
      <c r="H543" s="51"/>
      <c r="I543" s="52"/>
      <c r="K543" s="53"/>
      <c r="L543" s="32"/>
      <c r="O543" s="11"/>
      <c r="Z543" s="11"/>
    </row>
    <row r="544">
      <c r="B544" s="48"/>
      <c r="D544" s="49"/>
      <c r="E544" s="50"/>
      <c r="H544" s="51"/>
      <c r="I544" s="52"/>
      <c r="K544" s="53"/>
      <c r="L544" s="32"/>
      <c r="O544" s="11"/>
      <c r="Z544" s="11"/>
    </row>
    <row r="545">
      <c r="B545" s="48"/>
      <c r="D545" s="49"/>
      <c r="E545" s="50"/>
      <c r="H545" s="51"/>
      <c r="I545" s="52"/>
      <c r="K545" s="53"/>
      <c r="L545" s="32"/>
      <c r="O545" s="11"/>
      <c r="Z545" s="11"/>
    </row>
    <row r="546">
      <c r="B546" s="48"/>
      <c r="D546" s="49"/>
      <c r="E546" s="50"/>
      <c r="H546" s="51"/>
      <c r="I546" s="52"/>
      <c r="K546" s="53"/>
      <c r="L546" s="32"/>
      <c r="O546" s="11"/>
      <c r="Z546" s="11"/>
    </row>
    <row r="547">
      <c r="B547" s="48"/>
      <c r="D547" s="49"/>
      <c r="E547" s="50"/>
      <c r="H547" s="51"/>
      <c r="I547" s="52"/>
      <c r="K547" s="53"/>
      <c r="L547" s="32"/>
      <c r="O547" s="11"/>
      <c r="Z547" s="11"/>
    </row>
    <row r="548">
      <c r="B548" s="48"/>
      <c r="D548" s="49"/>
      <c r="E548" s="50"/>
      <c r="H548" s="51"/>
      <c r="I548" s="52"/>
      <c r="K548" s="53"/>
      <c r="L548" s="32"/>
      <c r="O548" s="11"/>
      <c r="Z548" s="11"/>
    </row>
    <row r="549">
      <c r="B549" s="48"/>
      <c r="D549" s="49"/>
      <c r="E549" s="50"/>
      <c r="H549" s="51"/>
      <c r="I549" s="52"/>
      <c r="K549" s="53"/>
      <c r="L549" s="32"/>
      <c r="O549" s="11"/>
      <c r="Z549" s="11"/>
    </row>
    <row r="550">
      <c r="B550" s="48"/>
      <c r="D550" s="49"/>
      <c r="E550" s="50"/>
      <c r="H550" s="51"/>
      <c r="I550" s="52"/>
      <c r="K550" s="53"/>
      <c r="L550" s="32"/>
      <c r="O550" s="11"/>
      <c r="Z550" s="11"/>
    </row>
    <row r="551">
      <c r="B551" s="48"/>
      <c r="D551" s="49"/>
      <c r="E551" s="50"/>
      <c r="H551" s="51"/>
      <c r="I551" s="52"/>
      <c r="K551" s="53"/>
      <c r="L551" s="32"/>
      <c r="O551" s="11"/>
      <c r="Z551" s="11"/>
    </row>
    <row r="552">
      <c r="B552" s="48"/>
      <c r="D552" s="49"/>
      <c r="E552" s="50"/>
      <c r="H552" s="51"/>
      <c r="I552" s="52"/>
      <c r="K552" s="53"/>
      <c r="L552" s="32"/>
      <c r="O552" s="11"/>
      <c r="Z552" s="11"/>
    </row>
    <row r="553">
      <c r="B553" s="48"/>
      <c r="D553" s="49"/>
      <c r="E553" s="50"/>
      <c r="H553" s="51"/>
      <c r="I553" s="52"/>
      <c r="K553" s="53"/>
      <c r="L553" s="32"/>
      <c r="O553" s="11"/>
      <c r="Z553" s="11"/>
    </row>
    <row r="554">
      <c r="B554" s="48"/>
      <c r="D554" s="49"/>
      <c r="E554" s="50"/>
      <c r="H554" s="51"/>
      <c r="I554" s="52"/>
      <c r="K554" s="53"/>
      <c r="L554" s="32"/>
      <c r="O554" s="11"/>
      <c r="Z554" s="11"/>
    </row>
    <row r="555">
      <c r="B555" s="48"/>
      <c r="D555" s="49"/>
      <c r="E555" s="50"/>
      <c r="H555" s="51"/>
      <c r="I555" s="52"/>
      <c r="K555" s="53"/>
      <c r="L555" s="32"/>
      <c r="O555" s="11"/>
      <c r="Z555" s="11"/>
    </row>
    <row r="556">
      <c r="B556" s="48"/>
      <c r="D556" s="49"/>
      <c r="E556" s="50"/>
      <c r="H556" s="51"/>
      <c r="I556" s="52"/>
      <c r="K556" s="53"/>
      <c r="L556" s="32"/>
      <c r="O556" s="11"/>
      <c r="Z556" s="11"/>
    </row>
    <row r="557">
      <c r="B557" s="48"/>
      <c r="D557" s="49"/>
      <c r="E557" s="50"/>
      <c r="H557" s="51"/>
      <c r="I557" s="52"/>
      <c r="K557" s="53"/>
      <c r="L557" s="32"/>
      <c r="O557" s="11"/>
      <c r="Z557" s="11"/>
    </row>
    <row r="558">
      <c r="B558" s="48"/>
      <c r="D558" s="49"/>
      <c r="E558" s="50"/>
      <c r="H558" s="51"/>
      <c r="I558" s="52"/>
      <c r="K558" s="53"/>
      <c r="L558" s="32"/>
      <c r="O558" s="11"/>
      <c r="Z558" s="11"/>
    </row>
    <row r="559">
      <c r="B559" s="48"/>
      <c r="D559" s="49"/>
      <c r="E559" s="50"/>
      <c r="H559" s="51"/>
      <c r="I559" s="52"/>
      <c r="K559" s="53"/>
      <c r="L559" s="32"/>
      <c r="O559" s="11"/>
      <c r="Z559" s="11"/>
    </row>
    <row r="560">
      <c r="B560" s="48"/>
      <c r="D560" s="49"/>
      <c r="E560" s="50"/>
      <c r="H560" s="51"/>
      <c r="I560" s="52"/>
      <c r="K560" s="53"/>
      <c r="L560" s="32"/>
      <c r="O560" s="11"/>
      <c r="Z560" s="11"/>
    </row>
    <row r="561">
      <c r="B561" s="48"/>
      <c r="D561" s="49"/>
      <c r="E561" s="50"/>
      <c r="H561" s="51"/>
      <c r="I561" s="52"/>
      <c r="K561" s="53"/>
      <c r="L561" s="32"/>
      <c r="O561" s="11"/>
      <c r="Z561" s="11"/>
    </row>
    <row r="562">
      <c r="B562" s="48"/>
      <c r="D562" s="49"/>
      <c r="E562" s="50"/>
      <c r="H562" s="51"/>
      <c r="I562" s="52"/>
      <c r="K562" s="53"/>
      <c r="L562" s="32"/>
      <c r="O562" s="11"/>
      <c r="Z562" s="11"/>
    </row>
    <row r="563">
      <c r="B563" s="48"/>
      <c r="D563" s="49"/>
      <c r="E563" s="50"/>
      <c r="H563" s="51"/>
      <c r="I563" s="52"/>
      <c r="K563" s="53"/>
      <c r="L563" s="32"/>
      <c r="O563" s="11"/>
      <c r="Z563" s="11"/>
    </row>
    <row r="564">
      <c r="B564" s="48"/>
      <c r="D564" s="49"/>
      <c r="E564" s="50"/>
      <c r="H564" s="51"/>
      <c r="I564" s="52"/>
      <c r="K564" s="53"/>
      <c r="L564" s="32"/>
      <c r="O564" s="11"/>
      <c r="Z564" s="11"/>
    </row>
    <row r="565">
      <c r="B565" s="48"/>
      <c r="D565" s="49"/>
      <c r="E565" s="50"/>
      <c r="H565" s="51"/>
      <c r="I565" s="52"/>
      <c r="K565" s="53"/>
      <c r="L565" s="32"/>
      <c r="O565" s="11"/>
      <c r="Z565" s="11"/>
    </row>
    <row r="566">
      <c r="B566" s="48"/>
      <c r="D566" s="49"/>
      <c r="E566" s="50"/>
      <c r="H566" s="51"/>
      <c r="I566" s="52"/>
      <c r="K566" s="53"/>
      <c r="L566" s="32"/>
      <c r="O566" s="11"/>
      <c r="Z566" s="11"/>
    </row>
    <row r="567">
      <c r="B567" s="48"/>
      <c r="D567" s="49"/>
      <c r="E567" s="50"/>
      <c r="H567" s="51"/>
      <c r="I567" s="52"/>
      <c r="K567" s="53"/>
      <c r="L567" s="32"/>
      <c r="O567" s="11"/>
      <c r="Z567" s="11"/>
    </row>
    <row r="568">
      <c r="B568" s="48"/>
      <c r="D568" s="49"/>
      <c r="E568" s="50"/>
      <c r="H568" s="51"/>
      <c r="I568" s="52"/>
      <c r="K568" s="53"/>
      <c r="L568" s="32"/>
      <c r="O568" s="11"/>
      <c r="Z568" s="11"/>
    </row>
    <row r="569">
      <c r="B569" s="48"/>
      <c r="D569" s="49"/>
      <c r="E569" s="50"/>
      <c r="H569" s="51"/>
      <c r="I569" s="52"/>
      <c r="K569" s="53"/>
      <c r="L569" s="32"/>
      <c r="O569" s="11"/>
      <c r="Z569" s="11"/>
    </row>
    <row r="570">
      <c r="B570" s="48"/>
      <c r="D570" s="49"/>
      <c r="E570" s="50"/>
      <c r="H570" s="51"/>
      <c r="I570" s="52"/>
      <c r="K570" s="53"/>
      <c r="L570" s="32"/>
      <c r="O570" s="11"/>
      <c r="Z570" s="11"/>
    </row>
    <row r="571">
      <c r="B571" s="48"/>
      <c r="D571" s="49"/>
      <c r="E571" s="50"/>
      <c r="H571" s="51"/>
      <c r="I571" s="52"/>
      <c r="K571" s="53"/>
      <c r="L571" s="32"/>
      <c r="O571" s="11"/>
      <c r="Z571" s="11"/>
    </row>
    <row r="572">
      <c r="B572" s="48"/>
      <c r="D572" s="49"/>
      <c r="E572" s="50"/>
      <c r="H572" s="51"/>
      <c r="I572" s="52"/>
      <c r="K572" s="53"/>
      <c r="L572" s="32"/>
      <c r="O572" s="11"/>
      <c r="Z572" s="11"/>
    </row>
    <row r="573">
      <c r="B573" s="48"/>
      <c r="D573" s="49"/>
      <c r="E573" s="50"/>
      <c r="H573" s="51"/>
      <c r="I573" s="52"/>
      <c r="K573" s="53"/>
      <c r="L573" s="32"/>
      <c r="O573" s="11"/>
      <c r="Z573" s="11"/>
    </row>
    <row r="574">
      <c r="B574" s="48"/>
      <c r="D574" s="49"/>
      <c r="E574" s="50"/>
      <c r="H574" s="51"/>
      <c r="I574" s="52"/>
      <c r="K574" s="53"/>
      <c r="L574" s="32"/>
      <c r="O574" s="11"/>
      <c r="Z574" s="11"/>
    </row>
    <row r="575">
      <c r="B575" s="48"/>
      <c r="D575" s="49"/>
      <c r="E575" s="50"/>
      <c r="H575" s="51"/>
      <c r="I575" s="52"/>
      <c r="K575" s="53"/>
      <c r="L575" s="32"/>
      <c r="O575" s="11"/>
      <c r="Z575" s="11"/>
    </row>
    <row r="576">
      <c r="B576" s="48"/>
      <c r="D576" s="49"/>
      <c r="E576" s="50"/>
      <c r="H576" s="51"/>
      <c r="I576" s="52"/>
      <c r="K576" s="53"/>
      <c r="L576" s="32"/>
      <c r="O576" s="11"/>
      <c r="Z576" s="11"/>
    </row>
    <row r="577">
      <c r="B577" s="48"/>
      <c r="D577" s="49"/>
      <c r="E577" s="50"/>
      <c r="H577" s="51"/>
      <c r="I577" s="52"/>
      <c r="K577" s="53"/>
      <c r="L577" s="32"/>
      <c r="O577" s="11"/>
      <c r="Z577" s="11"/>
    </row>
    <row r="578">
      <c r="B578" s="48"/>
      <c r="D578" s="49"/>
      <c r="E578" s="50"/>
      <c r="H578" s="51"/>
      <c r="I578" s="52"/>
      <c r="K578" s="53"/>
      <c r="L578" s="32"/>
      <c r="O578" s="11"/>
      <c r="Z578" s="11"/>
    </row>
    <row r="579">
      <c r="B579" s="48"/>
      <c r="D579" s="49"/>
      <c r="E579" s="50"/>
      <c r="H579" s="51"/>
      <c r="I579" s="52"/>
      <c r="K579" s="53"/>
      <c r="L579" s="32"/>
      <c r="O579" s="11"/>
      <c r="Z579" s="11"/>
    </row>
    <row r="580">
      <c r="B580" s="48"/>
      <c r="D580" s="49"/>
      <c r="E580" s="50"/>
      <c r="H580" s="51"/>
      <c r="I580" s="52"/>
      <c r="K580" s="53"/>
      <c r="L580" s="32"/>
      <c r="O580" s="11"/>
      <c r="Z580" s="11"/>
    </row>
    <row r="581">
      <c r="B581" s="48"/>
      <c r="D581" s="49"/>
      <c r="E581" s="50"/>
      <c r="H581" s="51"/>
      <c r="I581" s="52"/>
      <c r="K581" s="53"/>
      <c r="L581" s="32"/>
      <c r="O581" s="11"/>
      <c r="Z581" s="11"/>
    </row>
    <row r="582">
      <c r="B582" s="48"/>
      <c r="D582" s="49"/>
      <c r="E582" s="50"/>
      <c r="H582" s="51"/>
      <c r="I582" s="52"/>
      <c r="K582" s="53"/>
      <c r="L582" s="32"/>
      <c r="O582" s="11"/>
      <c r="Z582" s="11"/>
    </row>
    <row r="583">
      <c r="B583" s="48"/>
      <c r="D583" s="49"/>
      <c r="E583" s="50"/>
      <c r="H583" s="51"/>
      <c r="I583" s="52"/>
      <c r="K583" s="53"/>
      <c r="L583" s="32"/>
      <c r="O583" s="11"/>
      <c r="Z583" s="11"/>
    </row>
    <row r="584">
      <c r="B584" s="48"/>
      <c r="D584" s="49"/>
      <c r="E584" s="50"/>
      <c r="H584" s="51"/>
      <c r="I584" s="52"/>
      <c r="K584" s="53"/>
      <c r="L584" s="32"/>
      <c r="O584" s="11"/>
      <c r="Z584" s="11"/>
    </row>
    <row r="585">
      <c r="B585" s="48"/>
      <c r="D585" s="49"/>
      <c r="E585" s="50"/>
      <c r="H585" s="51"/>
      <c r="I585" s="52"/>
      <c r="K585" s="53"/>
      <c r="L585" s="32"/>
      <c r="O585" s="11"/>
      <c r="Z585" s="11"/>
    </row>
    <row r="586">
      <c r="B586" s="48"/>
      <c r="D586" s="49"/>
      <c r="E586" s="50"/>
      <c r="H586" s="51"/>
      <c r="I586" s="52"/>
      <c r="K586" s="53"/>
      <c r="L586" s="32"/>
      <c r="O586" s="11"/>
      <c r="Z586" s="11"/>
    </row>
    <row r="587">
      <c r="B587" s="48"/>
      <c r="D587" s="49"/>
      <c r="E587" s="50"/>
      <c r="H587" s="51"/>
      <c r="I587" s="52"/>
      <c r="K587" s="53"/>
      <c r="L587" s="32"/>
      <c r="O587" s="11"/>
      <c r="Z587" s="11"/>
    </row>
    <row r="588">
      <c r="B588" s="48"/>
      <c r="D588" s="49"/>
      <c r="E588" s="50"/>
      <c r="H588" s="51"/>
      <c r="I588" s="52"/>
      <c r="K588" s="53"/>
      <c r="L588" s="32"/>
      <c r="O588" s="11"/>
      <c r="Z588" s="11"/>
    </row>
    <row r="589">
      <c r="B589" s="48"/>
      <c r="D589" s="49"/>
      <c r="E589" s="50"/>
      <c r="H589" s="51"/>
      <c r="I589" s="52"/>
      <c r="K589" s="53"/>
      <c r="L589" s="32"/>
      <c r="O589" s="11"/>
      <c r="Z589" s="11"/>
    </row>
    <row r="590">
      <c r="B590" s="48"/>
      <c r="D590" s="49"/>
      <c r="E590" s="50"/>
      <c r="H590" s="51"/>
      <c r="I590" s="52"/>
      <c r="K590" s="53"/>
      <c r="L590" s="32"/>
      <c r="O590" s="11"/>
      <c r="Z590" s="11"/>
    </row>
    <row r="591">
      <c r="B591" s="48"/>
      <c r="D591" s="49"/>
      <c r="E591" s="50"/>
      <c r="H591" s="51"/>
      <c r="I591" s="52"/>
      <c r="K591" s="53"/>
      <c r="L591" s="32"/>
      <c r="O591" s="11"/>
      <c r="Z591" s="11"/>
    </row>
    <row r="592">
      <c r="B592" s="48"/>
      <c r="D592" s="49"/>
      <c r="E592" s="50"/>
      <c r="H592" s="51"/>
      <c r="I592" s="52"/>
      <c r="K592" s="53"/>
      <c r="L592" s="32"/>
      <c r="O592" s="11"/>
      <c r="Z592" s="11"/>
    </row>
    <row r="593">
      <c r="B593" s="48"/>
      <c r="D593" s="49"/>
      <c r="E593" s="50"/>
      <c r="H593" s="51"/>
      <c r="I593" s="52"/>
      <c r="K593" s="53"/>
      <c r="L593" s="32"/>
      <c r="O593" s="11"/>
      <c r="Z593" s="11"/>
    </row>
    <row r="594">
      <c r="B594" s="48"/>
      <c r="D594" s="49"/>
      <c r="E594" s="50"/>
      <c r="H594" s="51"/>
      <c r="I594" s="52"/>
      <c r="K594" s="53"/>
      <c r="L594" s="32"/>
      <c r="O594" s="11"/>
      <c r="Z594" s="11"/>
    </row>
    <row r="595">
      <c r="B595" s="48"/>
      <c r="D595" s="49"/>
      <c r="E595" s="50"/>
      <c r="H595" s="51"/>
      <c r="I595" s="52"/>
      <c r="K595" s="53"/>
      <c r="L595" s="32"/>
      <c r="O595" s="11"/>
      <c r="Z595" s="11"/>
    </row>
    <row r="596">
      <c r="B596" s="48"/>
      <c r="D596" s="49"/>
      <c r="E596" s="50"/>
      <c r="H596" s="51"/>
      <c r="I596" s="52"/>
      <c r="K596" s="53"/>
      <c r="L596" s="32"/>
      <c r="O596" s="11"/>
      <c r="Z596" s="11"/>
    </row>
    <row r="597">
      <c r="B597" s="48"/>
      <c r="D597" s="49"/>
      <c r="E597" s="50"/>
      <c r="H597" s="51"/>
      <c r="I597" s="52"/>
      <c r="K597" s="53"/>
      <c r="L597" s="32"/>
      <c r="O597" s="11"/>
      <c r="Z597" s="11"/>
    </row>
    <row r="598">
      <c r="B598" s="48"/>
      <c r="D598" s="49"/>
      <c r="E598" s="50"/>
      <c r="H598" s="51"/>
      <c r="I598" s="52"/>
      <c r="K598" s="53"/>
      <c r="L598" s="32"/>
      <c r="O598" s="11"/>
      <c r="Z598" s="11"/>
    </row>
    <row r="599">
      <c r="B599" s="48"/>
      <c r="D599" s="49"/>
      <c r="E599" s="50"/>
      <c r="H599" s="51"/>
      <c r="I599" s="52"/>
      <c r="K599" s="53"/>
      <c r="L599" s="32"/>
      <c r="O599" s="11"/>
      <c r="Z599" s="11"/>
    </row>
    <row r="600">
      <c r="B600" s="48"/>
      <c r="D600" s="49"/>
      <c r="E600" s="50"/>
      <c r="H600" s="51"/>
      <c r="I600" s="52"/>
      <c r="K600" s="53"/>
      <c r="L600" s="32"/>
      <c r="O600" s="11"/>
      <c r="Z600" s="11"/>
    </row>
    <row r="601">
      <c r="B601" s="48"/>
      <c r="D601" s="49"/>
      <c r="E601" s="50"/>
      <c r="H601" s="51"/>
      <c r="I601" s="52"/>
      <c r="K601" s="53"/>
      <c r="L601" s="32"/>
      <c r="O601" s="11"/>
      <c r="Z601" s="11"/>
    </row>
    <row r="602">
      <c r="B602" s="48"/>
      <c r="D602" s="49"/>
      <c r="E602" s="50"/>
      <c r="H602" s="51"/>
      <c r="I602" s="52"/>
      <c r="K602" s="53"/>
      <c r="L602" s="32"/>
      <c r="O602" s="11"/>
      <c r="Z602" s="11"/>
    </row>
    <row r="603">
      <c r="B603" s="48"/>
      <c r="D603" s="49"/>
      <c r="E603" s="50"/>
      <c r="H603" s="51"/>
      <c r="I603" s="52"/>
      <c r="K603" s="53"/>
      <c r="L603" s="32"/>
      <c r="O603" s="11"/>
      <c r="Z603" s="11"/>
    </row>
    <row r="604">
      <c r="B604" s="48"/>
      <c r="D604" s="49"/>
      <c r="E604" s="50"/>
      <c r="H604" s="51"/>
      <c r="I604" s="52"/>
      <c r="K604" s="53"/>
      <c r="L604" s="32"/>
      <c r="O604" s="11"/>
      <c r="Z604" s="11"/>
    </row>
    <row r="605">
      <c r="B605" s="48"/>
      <c r="D605" s="49"/>
      <c r="E605" s="50"/>
      <c r="H605" s="51"/>
      <c r="I605" s="52"/>
      <c r="K605" s="53"/>
      <c r="L605" s="32"/>
      <c r="O605" s="11"/>
      <c r="Z605" s="11"/>
    </row>
    <row r="606">
      <c r="B606" s="48"/>
      <c r="D606" s="49"/>
      <c r="E606" s="50"/>
      <c r="H606" s="51"/>
      <c r="I606" s="52"/>
      <c r="K606" s="53"/>
      <c r="L606" s="32"/>
      <c r="O606" s="11"/>
      <c r="Z606" s="11"/>
    </row>
    <row r="607">
      <c r="B607" s="48"/>
      <c r="D607" s="49"/>
      <c r="E607" s="50"/>
      <c r="H607" s="51"/>
      <c r="I607" s="52"/>
      <c r="K607" s="53"/>
      <c r="L607" s="32"/>
      <c r="O607" s="11"/>
      <c r="Z607" s="11"/>
    </row>
    <row r="608">
      <c r="B608" s="48"/>
      <c r="D608" s="49"/>
      <c r="E608" s="50"/>
      <c r="H608" s="51"/>
      <c r="I608" s="52"/>
      <c r="K608" s="53"/>
      <c r="L608" s="32"/>
      <c r="O608" s="11"/>
      <c r="Z608" s="11"/>
    </row>
    <row r="609">
      <c r="B609" s="48"/>
      <c r="D609" s="49"/>
      <c r="E609" s="50"/>
      <c r="H609" s="51"/>
      <c r="I609" s="52"/>
      <c r="K609" s="53"/>
      <c r="L609" s="32"/>
      <c r="O609" s="11"/>
      <c r="Z609" s="11"/>
    </row>
    <row r="610">
      <c r="B610" s="48"/>
      <c r="D610" s="49"/>
      <c r="E610" s="50"/>
      <c r="H610" s="51"/>
      <c r="I610" s="52"/>
      <c r="K610" s="53"/>
      <c r="L610" s="32"/>
      <c r="O610" s="11"/>
      <c r="Z610" s="11"/>
    </row>
    <row r="611">
      <c r="B611" s="48"/>
      <c r="D611" s="49"/>
      <c r="E611" s="50"/>
      <c r="H611" s="51"/>
      <c r="I611" s="52"/>
      <c r="K611" s="53"/>
      <c r="L611" s="32"/>
      <c r="O611" s="11"/>
      <c r="Z611" s="11"/>
    </row>
    <row r="612">
      <c r="B612" s="48"/>
      <c r="D612" s="49"/>
      <c r="E612" s="50"/>
      <c r="H612" s="51"/>
      <c r="I612" s="52"/>
      <c r="K612" s="53"/>
      <c r="L612" s="32"/>
      <c r="O612" s="11"/>
      <c r="Z612" s="11"/>
    </row>
    <row r="613">
      <c r="B613" s="48"/>
      <c r="D613" s="49"/>
      <c r="E613" s="50"/>
      <c r="H613" s="51"/>
      <c r="I613" s="52"/>
      <c r="K613" s="53"/>
      <c r="L613" s="32"/>
      <c r="O613" s="11"/>
      <c r="Z613" s="11"/>
    </row>
    <row r="614">
      <c r="B614" s="48"/>
      <c r="D614" s="49"/>
      <c r="E614" s="50"/>
      <c r="H614" s="51"/>
      <c r="I614" s="52"/>
      <c r="K614" s="53"/>
      <c r="L614" s="32"/>
      <c r="O614" s="11"/>
      <c r="Z614" s="11"/>
    </row>
    <row r="615">
      <c r="B615" s="48"/>
      <c r="D615" s="49"/>
      <c r="E615" s="50"/>
      <c r="H615" s="51"/>
      <c r="I615" s="52"/>
      <c r="K615" s="53"/>
      <c r="L615" s="32"/>
      <c r="O615" s="11"/>
      <c r="Z615" s="11"/>
    </row>
    <row r="616">
      <c r="B616" s="48"/>
      <c r="D616" s="49"/>
      <c r="E616" s="50"/>
      <c r="H616" s="51"/>
      <c r="I616" s="52"/>
      <c r="K616" s="53"/>
      <c r="L616" s="32"/>
      <c r="O616" s="11"/>
      <c r="Z616" s="11"/>
    </row>
    <row r="617">
      <c r="B617" s="48"/>
      <c r="D617" s="49"/>
      <c r="E617" s="50"/>
      <c r="H617" s="51"/>
      <c r="I617" s="52"/>
      <c r="K617" s="53"/>
      <c r="L617" s="32"/>
      <c r="O617" s="11"/>
      <c r="Z617" s="11"/>
    </row>
    <row r="618">
      <c r="B618" s="48"/>
      <c r="D618" s="49"/>
      <c r="E618" s="50"/>
      <c r="H618" s="51"/>
      <c r="I618" s="52"/>
      <c r="K618" s="53"/>
      <c r="L618" s="32"/>
      <c r="O618" s="11"/>
      <c r="Z618" s="11"/>
    </row>
    <row r="619">
      <c r="B619" s="48"/>
      <c r="D619" s="49"/>
      <c r="E619" s="50"/>
      <c r="H619" s="51"/>
      <c r="I619" s="52"/>
      <c r="K619" s="53"/>
      <c r="L619" s="32"/>
      <c r="O619" s="11"/>
      <c r="Z619" s="11"/>
    </row>
    <row r="620">
      <c r="B620" s="48"/>
      <c r="D620" s="49"/>
      <c r="E620" s="50"/>
      <c r="H620" s="51"/>
      <c r="I620" s="52"/>
      <c r="K620" s="53"/>
      <c r="L620" s="32"/>
      <c r="O620" s="11"/>
      <c r="Z620" s="11"/>
    </row>
    <row r="621">
      <c r="B621" s="48"/>
      <c r="D621" s="49"/>
      <c r="E621" s="50"/>
      <c r="H621" s="51"/>
      <c r="I621" s="52"/>
      <c r="K621" s="53"/>
      <c r="L621" s="32"/>
      <c r="O621" s="11"/>
      <c r="Z621" s="11"/>
    </row>
    <row r="622">
      <c r="B622" s="48"/>
      <c r="D622" s="49"/>
      <c r="E622" s="50"/>
      <c r="H622" s="51"/>
      <c r="I622" s="52"/>
      <c r="K622" s="53"/>
      <c r="L622" s="32"/>
      <c r="O622" s="11"/>
      <c r="Z622" s="11"/>
    </row>
    <row r="623">
      <c r="B623" s="48"/>
      <c r="D623" s="49"/>
      <c r="E623" s="50"/>
      <c r="H623" s="51"/>
      <c r="I623" s="52"/>
      <c r="K623" s="53"/>
      <c r="L623" s="32"/>
      <c r="O623" s="11"/>
      <c r="Z623" s="11"/>
    </row>
    <row r="624">
      <c r="B624" s="48"/>
      <c r="D624" s="49"/>
      <c r="E624" s="50"/>
      <c r="H624" s="51"/>
      <c r="I624" s="52"/>
      <c r="K624" s="53"/>
      <c r="L624" s="32"/>
      <c r="O624" s="11"/>
      <c r="Z624" s="11"/>
    </row>
    <row r="625">
      <c r="B625" s="48"/>
      <c r="D625" s="49"/>
      <c r="E625" s="50"/>
      <c r="H625" s="51"/>
      <c r="I625" s="52"/>
      <c r="K625" s="53"/>
      <c r="L625" s="32"/>
      <c r="O625" s="11"/>
      <c r="Z625" s="11"/>
    </row>
    <row r="626">
      <c r="B626" s="48"/>
      <c r="D626" s="49"/>
      <c r="E626" s="50"/>
      <c r="H626" s="51"/>
      <c r="I626" s="52"/>
      <c r="K626" s="53"/>
      <c r="L626" s="32"/>
      <c r="O626" s="11"/>
      <c r="Z626" s="11"/>
    </row>
    <row r="627">
      <c r="B627" s="48"/>
      <c r="D627" s="49"/>
      <c r="E627" s="50"/>
      <c r="H627" s="51"/>
      <c r="I627" s="52"/>
      <c r="K627" s="53"/>
      <c r="L627" s="32"/>
      <c r="O627" s="11"/>
      <c r="Z627" s="11"/>
    </row>
    <row r="628">
      <c r="B628" s="48"/>
      <c r="D628" s="49"/>
      <c r="E628" s="50"/>
      <c r="H628" s="51"/>
      <c r="I628" s="52"/>
      <c r="K628" s="53"/>
      <c r="L628" s="32"/>
      <c r="O628" s="11"/>
      <c r="Z628" s="11"/>
    </row>
    <row r="629">
      <c r="B629" s="48"/>
      <c r="D629" s="49"/>
      <c r="E629" s="50"/>
      <c r="H629" s="51"/>
      <c r="I629" s="52"/>
      <c r="K629" s="53"/>
      <c r="L629" s="32"/>
      <c r="O629" s="11"/>
      <c r="Z629" s="11"/>
    </row>
    <row r="630">
      <c r="B630" s="48"/>
      <c r="D630" s="49"/>
      <c r="E630" s="50"/>
      <c r="H630" s="51"/>
      <c r="I630" s="52"/>
      <c r="K630" s="53"/>
      <c r="L630" s="32"/>
      <c r="O630" s="11"/>
      <c r="Z630" s="11"/>
    </row>
    <row r="631">
      <c r="B631" s="48"/>
      <c r="D631" s="49"/>
      <c r="E631" s="50"/>
      <c r="H631" s="51"/>
      <c r="I631" s="52"/>
      <c r="K631" s="53"/>
      <c r="L631" s="32"/>
      <c r="O631" s="11"/>
      <c r="Z631" s="11"/>
    </row>
    <row r="632">
      <c r="B632" s="48"/>
      <c r="D632" s="49"/>
      <c r="E632" s="50"/>
      <c r="H632" s="51"/>
      <c r="I632" s="52"/>
      <c r="K632" s="53"/>
      <c r="L632" s="32"/>
      <c r="O632" s="11"/>
      <c r="Z632" s="11"/>
    </row>
    <row r="633">
      <c r="B633" s="48"/>
      <c r="D633" s="49"/>
      <c r="E633" s="50"/>
      <c r="H633" s="51"/>
      <c r="I633" s="52"/>
      <c r="K633" s="53"/>
      <c r="L633" s="32"/>
      <c r="O633" s="11"/>
      <c r="Z633" s="11"/>
    </row>
    <row r="634">
      <c r="B634" s="48"/>
      <c r="D634" s="49"/>
      <c r="E634" s="50"/>
      <c r="H634" s="51"/>
      <c r="I634" s="52"/>
      <c r="K634" s="53"/>
      <c r="L634" s="32"/>
      <c r="O634" s="11"/>
      <c r="Z634" s="11"/>
    </row>
    <row r="635">
      <c r="B635" s="48"/>
      <c r="D635" s="49"/>
      <c r="E635" s="50"/>
      <c r="H635" s="51"/>
      <c r="I635" s="52"/>
      <c r="K635" s="53"/>
      <c r="L635" s="32"/>
      <c r="O635" s="11"/>
      <c r="Z635" s="11"/>
    </row>
    <row r="636">
      <c r="B636" s="48"/>
      <c r="D636" s="49"/>
      <c r="E636" s="50"/>
      <c r="H636" s="51"/>
      <c r="I636" s="52"/>
      <c r="K636" s="53"/>
      <c r="L636" s="32"/>
      <c r="O636" s="11"/>
      <c r="Z636" s="11"/>
    </row>
    <row r="637">
      <c r="B637" s="48"/>
      <c r="D637" s="49"/>
      <c r="E637" s="50"/>
      <c r="H637" s="51"/>
      <c r="I637" s="52"/>
      <c r="K637" s="53"/>
      <c r="L637" s="32"/>
      <c r="O637" s="11"/>
      <c r="Z637" s="11"/>
    </row>
    <row r="638">
      <c r="B638" s="48"/>
      <c r="D638" s="49"/>
      <c r="E638" s="50"/>
      <c r="H638" s="51"/>
      <c r="I638" s="52"/>
      <c r="K638" s="53"/>
      <c r="L638" s="32"/>
      <c r="O638" s="11"/>
      <c r="Z638" s="11"/>
    </row>
    <row r="639">
      <c r="B639" s="48"/>
      <c r="D639" s="49"/>
      <c r="E639" s="50"/>
      <c r="H639" s="51"/>
      <c r="I639" s="52"/>
      <c r="K639" s="53"/>
      <c r="L639" s="32"/>
      <c r="O639" s="11"/>
      <c r="Z639" s="11"/>
    </row>
    <row r="640">
      <c r="B640" s="48"/>
      <c r="D640" s="49"/>
      <c r="E640" s="50"/>
      <c r="H640" s="51"/>
      <c r="I640" s="52"/>
      <c r="K640" s="53"/>
      <c r="L640" s="32"/>
      <c r="O640" s="11"/>
      <c r="Z640" s="11"/>
    </row>
    <row r="641">
      <c r="B641" s="48"/>
      <c r="D641" s="49"/>
      <c r="E641" s="50"/>
      <c r="H641" s="51"/>
      <c r="I641" s="52"/>
      <c r="K641" s="53"/>
      <c r="L641" s="32"/>
      <c r="O641" s="11"/>
      <c r="Z641" s="11"/>
    </row>
    <row r="642">
      <c r="B642" s="48"/>
      <c r="D642" s="49"/>
      <c r="E642" s="50"/>
      <c r="H642" s="51"/>
      <c r="I642" s="52"/>
      <c r="K642" s="53"/>
      <c r="L642" s="32"/>
      <c r="O642" s="11"/>
      <c r="Z642" s="11"/>
    </row>
    <row r="643">
      <c r="B643" s="48"/>
      <c r="D643" s="49"/>
      <c r="E643" s="50"/>
      <c r="H643" s="51"/>
      <c r="I643" s="52"/>
      <c r="K643" s="53"/>
      <c r="L643" s="32"/>
      <c r="O643" s="11"/>
      <c r="Z643" s="11"/>
    </row>
    <row r="644">
      <c r="B644" s="48"/>
      <c r="D644" s="49"/>
      <c r="E644" s="50"/>
      <c r="H644" s="51"/>
      <c r="I644" s="52"/>
      <c r="K644" s="53"/>
      <c r="L644" s="32"/>
      <c r="O644" s="11"/>
      <c r="Z644" s="11"/>
    </row>
    <row r="645">
      <c r="B645" s="48"/>
      <c r="D645" s="49"/>
      <c r="E645" s="50"/>
      <c r="H645" s="51"/>
      <c r="I645" s="52"/>
      <c r="K645" s="53"/>
      <c r="L645" s="32"/>
      <c r="O645" s="11"/>
      <c r="Z645" s="11"/>
    </row>
    <row r="646">
      <c r="B646" s="48"/>
      <c r="D646" s="49"/>
      <c r="E646" s="50"/>
      <c r="H646" s="51"/>
      <c r="I646" s="52"/>
      <c r="K646" s="53"/>
      <c r="L646" s="32"/>
      <c r="O646" s="11"/>
      <c r="Z646" s="11"/>
    </row>
    <row r="647">
      <c r="B647" s="48"/>
      <c r="D647" s="49"/>
      <c r="E647" s="50"/>
      <c r="H647" s="51"/>
      <c r="I647" s="52"/>
      <c r="K647" s="53"/>
      <c r="L647" s="32"/>
      <c r="O647" s="11"/>
      <c r="Z647" s="11"/>
    </row>
    <row r="648">
      <c r="B648" s="48"/>
      <c r="D648" s="49"/>
      <c r="E648" s="50"/>
      <c r="H648" s="51"/>
      <c r="I648" s="52"/>
      <c r="K648" s="53"/>
      <c r="L648" s="32"/>
      <c r="O648" s="11"/>
      <c r="Z648" s="11"/>
    </row>
    <row r="649">
      <c r="B649" s="48"/>
      <c r="D649" s="49"/>
      <c r="E649" s="50"/>
      <c r="H649" s="51"/>
      <c r="I649" s="52"/>
      <c r="K649" s="53"/>
      <c r="L649" s="32"/>
      <c r="O649" s="11"/>
      <c r="Z649" s="11"/>
    </row>
    <row r="650">
      <c r="B650" s="48"/>
      <c r="D650" s="49"/>
      <c r="E650" s="50"/>
      <c r="H650" s="51"/>
      <c r="I650" s="52"/>
      <c r="K650" s="53"/>
      <c r="L650" s="32"/>
      <c r="O650" s="11"/>
      <c r="Z650" s="11"/>
    </row>
    <row r="651">
      <c r="B651" s="48"/>
      <c r="D651" s="49"/>
      <c r="E651" s="50"/>
      <c r="H651" s="51"/>
      <c r="I651" s="52"/>
      <c r="K651" s="53"/>
      <c r="L651" s="32"/>
      <c r="O651" s="11"/>
      <c r="Z651" s="11"/>
    </row>
    <row r="652">
      <c r="B652" s="48"/>
      <c r="D652" s="49"/>
      <c r="E652" s="50"/>
      <c r="H652" s="51"/>
      <c r="I652" s="52"/>
      <c r="K652" s="53"/>
      <c r="L652" s="32"/>
      <c r="O652" s="11"/>
      <c r="Z652" s="11"/>
    </row>
    <row r="653">
      <c r="B653" s="48"/>
      <c r="D653" s="49"/>
      <c r="E653" s="50"/>
      <c r="H653" s="51"/>
      <c r="I653" s="52"/>
      <c r="K653" s="53"/>
      <c r="L653" s="32"/>
      <c r="O653" s="11"/>
      <c r="Z653" s="11"/>
    </row>
    <row r="654">
      <c r="B654" s="48"/>
      <c r="D654" s="49"/>
      <c r="E654" s="50"/>
      <c r="H654" s="51"/>
      <c r="I654" s="52"/>
      <c r="K654" s="53"/>
      <c r="L654" s="32"/>
      <c r="O654" s="11"/>
      <c r="Z654" s="11"/>
    </row>
    <row r="655">
      <c r="B655" s="48"/>
      <c r="D655" s="49"/>
      <c r="E655" s="50"/>
      <c r="H655" s="51"/>
      <c r="I655" s="52"/>
      <c r="K655" s="53"/>
      <c r="L655" s="32"/>
      <c r="O655" s="11"/>
      <c r="Z655" s="11"/>
    </row>
    <row r="656">
      <c r="B656" s="48"/>
      <c r="D656" s="49"/>
      <c r="E656" s="50"/>
      <c r="H656" s="51"/>
      <c r="I656" s="52"/>
      <c r="K656" s="53"/>
      <c r="L656" s="32"/>
      <c r="O656" s="11"/>
      <c r="Z656" s="11"/>
    </row>
    <row r="657">
      <c r="B657" s="48"/>
      <c r="D657" s="49"/>
      <c r="E657" s="50"/>
      <c r="H657" s="51"/>
      <c r="I657" s="52"/>
      <c r="K657" s="53"/>
      <c r="L657" s="32"/>
      <c r="O657" s="11"/>
      <c r="Z657" s="11"/>
    </row>
    <row r="658">
      <c r="B658" s="48"/>
      <c r="D658" s="49"/>
      <c r="E658" s="50"/>
      <c r="H658" s="51"/>
      <c r="I658" s="52"/>
      <c r="K658" s="53"/>
      <c r="L658" s="32"/>
      <c r="O658" s="11"/>
      <c r="Z658" s="11"/>
    </row>
    <row r="659">
      <c r="B659" s="48"/>
      <c r="D659" s="49"/>
      <c r="E659" s="50"/>
      <c r="H659" s="51"/>
      <c r="I659" s="52"/>
      <c r="K659" s="53"/>
      <c r="L659" s="32"/>
      <c r="O659" s="11"/>
      <c r="Z659" s="11"/>
    </row>
    <row r="660">
      <c r="B660" s="48"/>
      <c r="D660" s="49"/>
      <c r="E660" s="50"/>
      <c r="H660" s="51"/>
      <c r="I660" s="52"/>
      <c r="K660" s="53"/>
      <c r="L660" s="32"/>
      <c r="O660" s="11"/>
      <c r="Z660" s="11"/>
    </row>
    <row r="661">
      <c r="B661" s="48"/>
      <c r="D661" s="49"/>
      <c r="E661" s="50"/>
      <c r="H661" s="51"/>
      <c r="I661" s="52"/>
      <c r="K661" s="53"/>
      <c r="L661" s="32"/>
      <c r="O661" s="11"/>
      <c r="Z661" s="11"/>
    </row>
    <row r="662">
      <c r="B662" s="48"/>
      <c r="D662" s="49"/>
      <c r="E662" s="50"/>
      <c r="H662" s="51"/>
      <c r="I662" s="52"/>
      <c r="K662" s="53"/>
      <c r="L662" s="32"/>
      <c r="O662" s="11"/>
      <c r="Z662" s="11"/>
    </row>
    <row r="663">
      <c r="B663" s="48"/>
      <c r="D663" s="49"/>
      <c r="E663" s="50"/>
      <c r="H663" s="51"/>
      <c r="I663" s="52"/>
      <c r="K663" s="53"/>
      <c r="L663" s="32"/>
      <c r="O663" s="11"/>
      <c r="Z663" s="11"/>
    </row>
    <row r="664">
      <c r="B664" s="48"/>
      <c r="D664" s="49"/>
      <c r="E664" s="50"/>
      <c r="H664" s="51"/>
      <c r="I664" s="52"/>
      <c r="K664" s="53"/>
      <c r="L664" s="32"/>
      <c r="O664" s="11"/>
      <c r="Z664" s="11"/>
    </row>
    <row r="665">
      <c r="B665" s="48"/>
      <c r="D665" s="49"/>
      <c r="E665" s="50"/>
      <c r="H665" s="51"/>
      <c r="I665" s="52"/>
      <c r="K665" s="53"/>
      <c r="L665" s="32"/>
      <c r="O665" s="11"/>
      <c r="Z665" s="11"/>
    </row>
    <row r="666">
      <c r="B666" s="48"/>
      <c r="D666" s="49"/>
      <c r="E666" s="50"/>
      <c r="H666" s="51"/>
      <c r="I666" s="52"/>
      <c r="K666" s="53"/>
      <c r="L666" s="32"/>
      <c r="O666" s="11"/>
      <c r="Z666" s="11"/>
    </row>
    <row r="667">
      <c r="B667" s="48"/>
      <c r="D667" s="49"/>
      <c r="E667" s="50"/>
      <c r="H667" s="51"/>
      <c r="I667" s="52"/>
      <c r="K667" s="53"/>
      <c r="L667" s="32"/>
      <c r="O667" s="11"/>
      <c r="Z667" s="11"/>
    </row>
    <row r="668">
      <c r="B668" s="48"/>
      <c r="D668" s="49"/>
      <c r="E668" s="50"/>
      <c r="H668" s="51"/>
      <c r="I668" s="52"/>
      <c r="K668" s="53"/>
      <c r="L668" s="32"/>
      <c r="O668" s="11"/>
      <c r="Z668" s="11"/>
    </row>
    <row r="669">
      <c r="B669" s="48"/>
      <c r="D669" s="49"/>
      <c r="E669" s="50"/>
      <c r="H669" s="51"/>
      <c r="I669" s="52"/>
      <c r="K669" s="53"/>
      <c r="L669" s="32"/>
      <c r="O669" s="11"/>
      <c r="Z669" s="11"/>
    </row>
    <row r="670">
      <c r="B670" s="48"/>
      <c r="D670" s="49"/>
      <c r="E670" s="50"/>
      <c r="H670" s="51"/>
      <c r="I670" s="52"/>
      <c r="K670" s="53"/>
      <c r="L670" s="32"/>
      <c r="O670" s="11"/>
      <c r="Z670" s="11"/>
    </row>
    <row r="671">
      <c r="B671" s="48"/>
      <c r="D671" s="49"/>
      <c r="E671" s="50"/>
      <c r="H671" s="51"/>
      <c r="I671" s="52"/>
      <c r="K671" s="53"/>
      <c r="L671" s="32"/>
      <c r="O671" s="11"/>
      <c r="Z671" s="11"/>
    </row>
    <row r="672">
      <c r="B672" s="48"/>
      <c r="D672" s="49"/>
      <c r="E672" s="50"/>
      <c r="H672" s="51"/>
      <c r="I672" s="52"/>
      <c r="K672" s="53"/>
      <c r="L672" s="32"/>
      <c r="O672" s="11"/>
      <c r="Z672" s="11"/>
    </row>
    <row r="673">
      <c r="B673" s="48"/>
      <c r="D673" s="49"/>
      <c r="E673" s="50"/>
      <c r="H673" s="51"/>
      <c r="I673" s="52"/>
      <c r="K673" s="53"/>
      <c r="L673" s="32"/>
      <c r="O673" s="11"/>
      <c r="Z673" s="11"/>
    </row>
    <row r="674">
      <c r="B674" s="48"/>
      <c r="D674" s="49"/>
      <c r="E674" s="50"/>
      <c r="H674" s="51"/>
      <c r="I674" s="52"/>
      <c r="K674" s="53"/>
      <c r="L674" s="32"/>
      <c r="O674" s="11"/>
      <c r="Z674" s="11"/>
    </row>
    <row r="675">
      <c r="B675" s="48"/>
      <c r="D675" s="49"/>
      <c r="E675" s="50"/>
      <c r="H675" s="51"/>
      <c r="I675" s="52"/>
      <c r="K675" s="53"/>
      <c r="L675" s="32"/>
      <c r="O675" s="11"/>
      <c r="Z675" s="11"/>
    </row>
    <row r="676">
      <c r="B676" s="48"/>
      <c r="D676" s="49"/>
      <c r="E676" s="50"/>
      <c r="H676" s="51"/>
      <c r="I676" s="52"/>
      <c r="K676" s="53"/>
      <c r="L676" s="32"/>
      <c r="O676" s="11"/>
      <c r="Z676" s="11"/>
    </row>
    <row r="677">
      <c r="B677" s="48"/>
      <c r="D677" s="49"/>
      <c r="E677" s="50"/>
      <c r="H677" s="51"/>
      <c r="I677" s="52"/>
      <c r="K677" s="53"/>
      <c r="L677" s="32"/>
      <c r="O677" s="11"/>
      <c r="Z677" s="11"/>
    </row>
    <row r="678">
      <c r="B678" s="48"/>
      <c r="D678" s="49"/>
      <c r="E678" s="50"/>
      <c r="H678" s="51"/>
      <c r="I678" s="52"/>
      <c r="K678" s="53"/>
      <c r="L678" s="32"/>
      <c r="O678" s="11"/>
      <c r="Z678" s="11"/>
    </row>
    <row r="679">
      <c r="B679" s="48"/>
      <c r="D679" s="49"/>
      <c r="E679" s="50"/>
      <c r="H679" s="51"/>
      <c r="I679" s="52"/>
      <c r="K679" s="53"/>
      <c r="L679" s="32"/>
      <c r="O679" s="11"/>
      <c r="Z679" s="11"/>
    </row>
    <row r="680">
      <c r="B680" s="48"/>
      <c r="D680" s="49"/>
      <c r="E680" s="50"/>
      <c r="H680" s="51"/>
      <c r="I680" s="52"/>
      <c r="K680" s="53"/>
      <c r="L680" s="32"/>
      <c r="O680" s="11"/>
      <c r="Z680" s="11"/>
    </row>
    <row r="681">
      <c r="B681" s="48"/>
      <c r="D681" s="49"/>
      <c r="E681" s="50"/>
      <c r="H681" s="51"/>
      <c r="I681" s="52"/>
      <c r="K681" s="53"/>
      <c r="L681" s="32"/>
      <c r="O681" s="11"/>
      <c r="Z681" s="11"/>
    </row>
    <row r="682">
      <c r="B682" s="48"/>
      <c r="D682" s="49"/>
      <c r="E682" s="50"/>
      <c r="H682" s="51"/>
      <c r="I682" s="52"/>
      <c r="K682" s="53"/>
      <c r="L682" s="32"/>
      <c r="O682" s="11"/>
      <c r="Z682" s="11"/>
    </row>
    <row r="683">
      <c r="B683" s="48"/>
      <c r="D683" s="49"/>
      <c r="E683" s="50"/>
      <c r="H683" s="51"/>
      <c r="I683" s="52"/>
      <c r="K683" s="53"/>
      <c r="L683" s="32"/>
      <c r="O683" s="11"/>
      <c r="Z683" s="11"/>
    </row>
    <row r="684">
      <c r="B684" s="48"/>
      <c r="D684" s="49"/>
      <c r="E684" s="50"/>
      <c r="H684" s="51"/>
      <c r="I684" s="52"/>
      <c r="K684" s="53"/>
      <c r="L684" s="32"/>
      <c r="O684" s="11"/>
      <c r="Z684" s="11"/>
    </row>
    <row r="685">
      <c r="B685" s="48"/>
      <c r="D685" s="49"/>
      <c r="E685" s="50"/>
      <c r="H685" s="51"/>
      <c r="I685" s="52"/>
      <c r="K685" s="53"/>
      <c r="L685" s="32"/>
      <c r="O685" s="11"/>
      <c r="Z685" s="11"/>
    </row>
    <row r="686">
      <c r="B686" s="48"/>
      <c r="D686" s="49"/>
      <c r="E686" s="50"/>
      <c r="H686" s="51"/>
      <c r="I686" s="52"/>
      <c r="K686" s="53"/>
      <c r="L686" s="32"/>
      <c r="O686" s="11"/>
      <c r="Z686" s="11"/>
    </row>
    <row r="687">
      <c r="B687" s="48"/>
      <c r="D687" s="49"/>
      <c r="E687" s="50"/>
      <c r="H687" s="51"/>
      <c r="I687" s="52"/>
      <c r="K687" s="53"/>
      <c r="L687" s="32"/>
      <c r="O687" s="11"/>
      <c r="Z687" s="11"/>
    </row>
    <row r="688">
      <c r="B688" s="48"/>
      <c r="D688" s="49"/>
      <c r="E688" s="50"/>
      <c r="H688" s="51"/>
      <c r="I688" s="52"/>
      <c r="K688" s="53"/>
      <c r="L688" s="32"/>
      <c r="O688" s="11"/>
      <c r="Z688" s="11"/>
    </row>
    <row r="689">
      <c r="B689" s="48"/>
      <c r="D689" s="49"/>
      <c r="E689" s="50"/>
      <c r="H689" s="51"/>
      <c r="I689" s="52"/>
      <c r="K689" s="53"/>
      <c r="L689" s="32"/>
      <c r="O689" s="11"/>
      <c r="Z689" s="11"/>
    </row>
    <row r="690">
      <c r="B690" s="48"/>
      <c r="D690" s="49"/>
      <c r="E690" s="50"/>
      <c r="H690" s="51"/>
      <c r="I690" s="52"/>
      <c r="K690" s="53"/>
      <c r="L690" s="32"/>
      <c r="O690" s="11"/>
      <c r="Z690" s="11"/>
    </row>
    <row r="691">
      <c r="B691" s="48"/>
      <c r="D691" s="49"/>
      <c r="E691" s="50"/>
      <c r="H691" s="51"/>
      <c r="I691" s="52"/>
      <c r="K691" s="53"/>
      <c r="L691" s="32"/>
      <c r="O691" s="11"/>
      <c r="Z691" s="11"/>
    </row>
    <row r="692">
      <c r="B692" s="48"/>
      <c r="D692" s="49"/>
      <c r="E692" s="50"/>
      <c r="H692" s="51"/>
      <c r="I692" s="52"/>
      <c r="K692" s="53"/>
      <c r="L692" s="32"/>
      <c r="O692" s="11"/>
      <c r="Z692" s="11"/>
    </row>
    <row r="693">
      <c r="B693" s="48"/>
      <c r="D693" s="49"/>
      <c r="E693" s="50"/>
      <c r="H693" s="51"/>
      <c r="I693" s="52"/>
      <c r="K693" s="53"/>
      <c r="L693" s="32"/>
      <c r="O693" s="11"/>
      <c r="Z693" s="11"/>
    </row>
    <row r="694">
      <c r="B694" s="48"/>
      <c r="D694" s="49"/>
      <c r="E694" s="50"/>
      <c r="H694" s="51"/>
      <c r="I694" s="52"/>
      <c r="K694" s="53"/>
      <c r="L694" s="32"/>
      <c r="O694" s="11"/>
      <c r="Z694" s="11"/>
    </row>
    <row r="695">
      <c r="B695" s="48"/>
      <c r="D695" s="49"/>
      <c r="E695" s="50"/>
      <c r="H695" s="51"/>
      <c r="I695" s="52"/>
      <c r="K695" s="53"/>
      <c r="L695" s="32"/>
      <c r="O695" s="11"/>
      <c r="Z695" s="11"/>
    </row>
    <row r="696">
      <c r="B696" s="48"/>
      <c r="D696" s="49"/>
      <c r="E696" s="50"/>
      <c r="H696" s="51"/>
      <c r="I696" s="52"/>
      <c r="K696" s="53"/>
      <c r="L696" s="32"/>
      <c r="O696" s="11"/>
      <c r="Z696" s="11"/>
    </row>
    <row r="697">
      <c r="B697" s="48"/>
      <c r="D697" s="49"/>
      <c r="E697" s="50"/>
      <c r="H697" s="51"/>
      <c r="I697" s="52"/>
      <c r="K697" s="53"/>
      <c r="L697" s="32"/>
      <c r="O697" s="11"/>
      <c r="Z697" s="11"/>
    </row>
    <row r="698">
      <c r="B698" s="48"/>
      <c r="D698" s="49"/>
      <c r="E698" s="50"/>
      <c r="H698" s="51"/>
      <c r="I698" s="52"/>
      <c r="K698" s="53"/>
      <c r="L698" s="32"/>
      <c r="O698" s="11"/>
      <c r="Z698" s="11"/>
    </row>
    <row r="699">
      <c r="B699" s="48"/>
      <c r="D699" s="49"/>
      <c r="E699" s="50"/>
      <c r="H699" s="51"/>
      <c r="I699" s="52"/>
      <c r="K699" s="53"/>
      <c r="L699" s="32"/>
      <c r="O699" s="11"/>
      <c r="Z699" s="11"/>
    </row>
    <row r="700">
      <c r="B700" s="48"/>
      <c r="D700" s="49"/>
      <c r="E700" s="50"/>
      <c r="H700" s="51"/>
      <c r="I700" s="52"/>
      <c r="K700" s="53"/>
      <c r="L700" s="32"/>
      <c r="O700" s="11"/>
      <c r="Z700" s="11"/>
    </row>
    <row r="701">
      <c r="B701" s="48"/>
      <c r="D701" s="49"/>
      <c r="E701" s="50"/>
      <c r="H701" s="51"/>
      <c r="I701" s="52"/>
      <c r="K701" s="53"/>
      <c r="L701" s="32"/>
      <c r="O701" s="11"/>
      <c r="Z701" s="11"/>
    </row>
    <row r="702">
      <c r="B702" s="48"/>
      <c r="D702" s="49"/>
      <c r="E702" s="50"/>
      <c r="H702" s="51"/>
      <c r="I702" s="52"/>
      <c r="K702" s="53"/>
      <c r="L702" s="32"/>
      <c r="O702" s="11"/>
      <c r="Z702" s="11"/>
    </row>
    <row r="703">
      <c r="B703" s="48"/>
      <c r="D703" s="49"/>
      <c r="E703" s="50"/>
      <c r="H703" s="51"/>
      <c r="I703" s="52"/>
      <c r="K703" s="53"/>
      <c r="L703" s="32"/>
      <c r="O703" s="11"/>
      <c r="Z703" s="11"/>
    </row>
    <row r="704">
      <c r="B704" s="48"/>
      <c r="D704" s="49"/>
      <c r="E704" s="50"/>
      <c r="H704" s="51"/>
      <c r="I704" s="52"/>
      <c r="K704" s="53"/>
      <c r="L704" s="32"/>
      <c r="O704" s="11"/>
      <c r="Z704" s="11"/>
    </row>
    <row r="705">
      <c r="B705" s="48"/>
      <c r="D705" s="49"/>
      <c r="E705" s="50"/>
      <c r="H705" s="51"/>
      <c r="I705" s="52"/>
      <c r="K705" s="53"/>
      <c r="L705" s="32"/>
      <c r="O705" s="11"/>
      <c r="Z705" s="11"/>
    </row>
    <row r="706">
      <c r="B706" s="48"/>
      <c r="D706" s="49"/>
      <c r="E706" s="50"/>
      <c r="H706" s="51"/>
      <c r="I706" s="52"/>
      <c r="K706" s="53"/>
      <c r="L706" s="32"/>
      <c r="O706" s="11"/>
      <c r="Z706" s="11"/>
    </row>
    <row r="707">
      <c r="B707" s="48"/>
      <c r="D707" s="49"/>
      <c r="E707" s="50"/>
      <c r="H707" s="51"/>
      <c r="I707" s="52"/>
      <c r="K707" s="53"/>
      <c r="L707" s="32"/>
      <c r="O707" s="11"/>
      <c r="Z707" s="11"/>
    </row>
    <row r="708">
      <c r="B708" s="48"/>
      <c r="D708" s="49"/>
      <c r="E708" s="50"/>
      <c r="H708" s="51"/>
      <c r="I708" s="52"/>
      <c r="K708" s="53"/>
      <c r="L708" s="32"/>
      <c r="O708" s="11"/>
      <c r="Z708" s="11"/>
    </row>
    <row r="709">
      <c r="B709" s="48"/>
      <c r="D709" s="49"/>
      <c r="E709" s="50"/>
      <c r="H709" s="51"/>
      <c r="I709" s="52"/>
      <c r="K709" s="53"/>
      <c r="L709" s="32"/>
      <c r="O709" s="11"/>
      <c r="Z709" s="11"/>
    </row>
    <row r="710">
      <c r="B710" s="48"/>
      <c r="D710" s="49"/>
      <c r="E710" s="50"/>
      <c r="H710" s="51"/>
      <c r="I710" s="52"/>
      <c r="K710" s="53"/>
      <c r="L710" s="32"/>
      <c r="O710" s="11"/>
      <c r="Z710" s="11"/>
    </row>
    <row r="711">
      <c r="B711" s="48"/>
      <c r="D711" s="49"/>
      <c r="E711" s="50"/>
      <c r="H711" s="51"/>
      <c r="I711" s="52"/>
      <c r="K711" s="53"/>
      <c r="L711" s="32"/>
      <c r="O711" s="11"/>
      <c r="Z711" s="11"/>
    </row>
    <row r="712">
      <c r="B712" s="48"/>
      <c r="D712" s="49"/>
      <c r="E712" s="50"/>
      <c r="H712" s="51"/>
      <c r="I712" s="52"/>
      <c r="K712" s="53"/>
      <c r="L712" s="32"/>
      <c r="O712" s="11"/>
      <c r="Z712" s="11"/>
    </row>
    <row r="713">
      <c r="B713" s="48"/>
      <c r="D713" s="49"/>
      <c r="E713" s="50"/>
      <c r="H713" s="51"/>
      <c r="I713" s="52"/>
      <c r="K713" s="53"/>
      <c r="L713" s="32"/>
      <c r="O713" s="11"/>
      <c r="Z713" s="11"/>
    </row>
    <row r="714">
      <c r="B714" s="48"/>
      <c r="D714" s="49"/>
      <c r="E714" s="50"/>
      <c r="H714" s="51"/>
      <c r="I714" s="52"/>
      <c r="K714" s="53"/>
      <c r="L714" s="32"/>
      <c r="O714" s="11"/>
      <c r="Z714" s="11"/>
    </row>
    <row r="715">
      <c r="B715" s="48"/>
      <c r="D715" s="49"/>
      <c r="E715" s="50"/>
      <c r="H715" s="51"/>
      <c r="I715" s="52"/>
      <c r="K715" s="53"/>
      <c r="L715" s="32"/>
      <c r="O715" s="11"/>
      <c r="Z715" s="11"/>
    </row>
    <row r="716">
      <c r="B716" s="48"/>
      <c r="D716" s="49"/>
      <c r="E716" s="50"/>
      <c r="H716" s="51"/>
      <c r="I716" s="52"/>
      <c r="K716" s="53"/>
      <c r="L716" s="32"/>
      <c r="O716" s="11"/>
      <c r="Z716" s="11"/>
    </row>
    <row r="717">
      <c r="B717" s="48"/>
      <c r="D717" s="49"/>
      <c r="E717" s="50"/>
      <c r="H717" s="51"/>
      <c r="I717" s="52"/>
      <c r="K717" s="53"/>
      <c r="L717" s="32"/>
      <c r="O717" s="11"/>
      <c r="Z717" s="11"/>
    </row>
    <row r="718">
      <c r="B718" s="48"/>
      <c r="D718" s="49"/>
      <c r="E718" s="50"/>
      <c r="H718" s="51"/>
      <c r="I718" s="52"/>
      <c r="K718" s="53"/>
      <c r="L718" s="32"/>
      <c r="O718" s="11"/>
      <c r="Z718" s="11"/>
    </row>
    <row r="719">
      <c r="B719" s="48"/>
      <c r="D719" s="49"/>
      <c r="E719" s="50"/>
      <c r="H719" s="51"/>
      <c r="I719" s="52"/>
      <c r="K719" s="53"/>
      <c r="L719" s="32"/>
      <c r="O719" s="11"/>
      <c r="Z719" s="11"/>
    </row>
    <row r="720">
      <c r="B720" s="48"/>
      <c r="D720" s="49"/>
      <c r="E720" s="50"/>
      <c r="H720" s="51"/>
      <c r="I720" s="52"/>
      <c r="K720" s="53"/>
      <c r="L720" s="32"/>
      <c r="O720" s="11"/>
      <c r="Z720" s="11"/>
    </row>
    <row r="721">
      <c r="B721" s="48"/>
      <c r="D721" s="49"/>
      <c r="E721" s="50"/>
      <c r="H721" s="51"/>
      <c r="I721" s="52"/>
      <c r="K721" s="53"/>
      <c r="L721" s="32"/>
      <c r="O721" s="11"/>
      <c r="Z721" s="11"/>
    </row>
    <row r="722">
      <c r="B722" s="48"/>
      <c r="D722" s="49"/>
      <c r="E722" s="50"/>
      <c r="H722" s="51"/>
      <c r="I722" s="52"/>
      <c r="K722" s="53"/>
      <c r="L722" s="32"/>
      <c r="O722" s="11"/>
      <c r="Z722" s="11"/>
    </row>
    <row r="723">
      <c r="B723" s="48"/>
      <c r="D723" s="49"/>
      <c r="E723" s="50"/>
      <c r="H723" s="51"/>
      <c r="I723" s="52"/>
      <c r="K723" s="53"/>
      <c r="L723" s="32"/>
      <c r="O723" s="11"/>
      <c r="Z723" s="11"/>
    </row>
    <row r="724">
      <c r="B724" s="48"/>
      <c r="D724" s="49"/>
      <c r="E724" s="50"/>
      <c r="H724" s="51"/>
      <c r="I724" s="52"/>
      <c r="K724" s="53"/>
      <c r="L724" s="32"/>
      <c r="O724" s="11"/>
      <c r="Z724" s="11"/>
    </row>
    <row r="725">
      <c r="B725" s="48"/>
      <c r="D725" s="49"/>
      <c r="E725" s="50"/>
      <c r="H725" s="51"/>
      <c r="I725" s="52"/>
      <c r="K725" s="53"/>
      <c r="L725" s="32"/>
      <c r="O725" s="11"/>
      <c r="Z725" s="11"/>
    </row>
    <row r="726">
      <c r="B726" s="48"/>
      <c r="D726" s="49"/>
      <c r="E726" s="50"/>
      <c r="H726" s="51"/>
      <c r="I726" s="52"/>
      <c r="K726" s="53"/>
      <c r="L726" s="32"/>
      <c r="O726" s="11"/>
      <c r="Z726" s="11"/>
    </row>
    <row r="727">
      <c r="B727" s="48"/>
      <c r="D727" s="49"/>
      <c r="E727" s="50"/>
      <c r="H727" s="51"/>
      <c r="I727" s="52"/>
      <c r="K727" s="53"/>
      <c r="L727" s="32"/>
      <c r="O727" s="11"/>
      <c r="Z727" s="11"/>
    </row>
    <row r="728">
      <c r="B728" s="48"/>
      <c r="D728" s="49"/>
      <c r="E728" s="50"/>
      <c r="H728" s="51"/>
      <c r="I728" s="52"/>
      <c r="K728" s="53"/>
      <c r="L728" s="32"/>
      <c r="O728" s="11"/>
      <c r="Z728" s="11"/>
    </row>
    <row r="729">
      <c r="B729" s="48"/>
      <c r="D729" s="49"/>
      <c r="E729" s="50"/>
      <c r="H729" s="51"/>
      <c r="I729" s="52"/>
      <c r="K729" s="53"/>
      <c r="L729" s="32"/>
      <c r="O729" s="11"/>
      <c r="Z729" s="11"/>
    </row>
    <row r="730">
      <c r="B730" s="48"/>
      <c r="D730" s="49"/>
      <c r="E730" s="50"/>
      <c r="H730" s="51"/>
      <c r="I730" s="52"/>
      <c r="K730" s="53"/>
      <c r="L730" s="32"/>
      <c r="O730" s="11"/>
      <c r="Z730" s="11"/>
    </row>
    <row r="731">
      <c r="B731" s="48"/>
      <c r="D731" s="49"/>
      <c r="E731" s="50"/>
      <c r="H731" s="51"/>
      <c r="I731" s="52"/>
      <c r="K731" s="53"/>
      <c r="L731" s="32"/>
      <c r="O731" s="11"/>
      <c r="Z731" s="11"/>
    </row>
    <row r="732">
      <c r="B732" s="48"/>
      <c r="D732" s="49"/>
      <c r="E732" s="50"/>
      <c r="H732" s="51"/>
      <c r="I732" s="52"/>
      <c r="K732" s="53"/>
      <c r="L732" s="32"/>
      <c r="O732" s="11"/>
      <c r="Z732" s="11"/>
    </row>
    <row r="733">
      <c r="B733" s="48"/>
      <c r="D733" s="49"/>
      <c r="E733" s="50"/>
      <c r="H733" s="51"/>
      <c r="I733" s="52"/>
      <c r="K733" s="53"/>
      <c r="L733" s="32"/>
      <c r="O733" s="11"/>
      <c r="Z733" s="11"/>
    </row>
    <row r="734">
      <c r="B734" s="48"/>
      <c r="D734" s="49"/>
      <c r="E734" s="50"/>
      <c r="H734" s="51"/>
      <c r="I734" s="52"/>
      <c r="K734" s="53"/>
      <c r="L734" s="32"/>
      <c r="O734" s="11"/>
      <c r="Z734" s="11"/>
    </row>
    <row r="735">
      <c r="B735" s="48"/>
      <c r="D735" s="49"/>
      <c r="E735" s="50"/>
      <c r="H735" s="51"/>
      <c r="I735" s="52"/>
      <c r="K735" s="53"/>
      <c r="L735" s="32"/>
      <c r="O735" s="11"/>
      <c r="Z735" s="11"/>
    </row>
    <row r="736">
      <c r="B736" s="48"/>
      <c r="D736" s="49"/>
      <c r="E736" s="50"/>
      <c r="H736" s="51"/>
      <c r="I736" s="52"/>
      <c r="K736" s="53"/>
      <c r="L736" s="32"/>
      <c r="O736" s="11"/>
      <c r="Z736" s="11"/>
    </row>
    <row r="737">
      <c r="B737" s="48"/>
      <c r="D737" s="49"/>
      <c r="E737" s="50"/>
      <c r="H737" s="51"/>
      <c r="I737" s="52"/>
      <c r="K737" s="53"/>
      <c r="L737" s="32"/>
      <c r="O737" s="11"/>
      <c r="Z737" s="11"/>
    </row>
    <row r="738">
      <c r="B738" s="48"/>
      <c r="D738" s="49"/>
      <c r="E738" s="50"/>
      <c r="H738" s="51"/>
      <c r="I738" s="52"/>
      <c r="K738" s="53"/>
      <c r="L738" s="32"/>
      <c r="O738" s="11"/>
      <c r="Z738" s="11"/>
    </row>
    <row r="739">
      <c r="B739" s="48"/>
      <c r="D739" s="49"/>
      <c r="E739" s="50"/>
      <c r="H739" s="51"/>
      <c r="I739" s="52"/>
      <c r="K739" s="53"/>
      <c r="L739" s="32"/>
      <c r="O739" s="11"/>
      <c r="Z739" s="11"/>
    </row>
    <row r="740">
      <c r="B740" s="48"/>
      <c r="D740" s="49"/>
      <c r="E740" s="50"/>
      <c r="H740" s="51"/>
      <c r="I740" s="52"/>
      <c r="K740" s="53"/>
      <c r="L740" s="32"/>
      <c r="O740" s="11"/>
      <c r="Z740" s="11"/>
    </row>
    <row r="741">
      <c r="B741" s="48"/>
      <c r="D741" s="49"/>
      <c r="E741" s="50"/>
      <c r="H741" s="51"/>
      <c r="I741" s="52"/>
      <c r="K741" s="53"/>
      <c r="L741" s="32"/>
      <c r="O741" s="11"/>
      <c r="Z741" s="11"/>
    </row>
    <row r="742">
      <c r="B742" s="48"/>
      <c r="D742" s="49"/>
      <c r="E742" s="50"/>
      <c r="H742" s="51"/>
      <c r="I742" s="52"/>
      <c r="K742" s="53"/>
      <c r="L742" s="32"/>
      <c r="O742" s="11"/>
      <c r="Z742" s="11"/>
    </row>
    <row r="743">
      <c r="B743" s="48"/>
      <c r="D743" s="49"/>
      <c r="E743" s="50"/>
      <c r="H743" s="51"/>
      <c r="I743" s="52"/>
      <c r="K743" s="53"/>
      <c r="L743" s="32"/>
      <c r="O743" s="11"/>
      <c r="Z743" s="11"/>
    </row>
    <row r="744">
      <c r="B744" s="48"/>
      <c r="D744" s="49"/>
      <c r="E744" s="50"/>
      <c r="H744" s="51"/>
      <c r="I744" s="52"/>
      <c r="K744" s="53"/>
      <c r="L744" s="32"/>
      <c r="O744" s="11"/>
      <c r="Z744" s="11"/>
    </row>
    <row r="745">
      <c r="B745" s="48"/>
      <c r="D745" s="49"/>
      <c r="E745" s="50"/>
      <c r="H745" s="51"/>
      <c r="I745" s="52"/>
      <c r="K745" s="53"/>
      <c r="L745" s="32"/>
      <c r="O745" s="11"/>
      <c r="Z745" s="11"/>
    </row>
    <row r="746">
      <c r="B746" s="48"/>
      <c r="D746" s="49"/>
      <c r="E746" s="50"/>
      <c r="H746" s="51"/>
      <c r="I746" s="52"/>
      <c r="K746" s="53"/>
      <c r="L746" s="32"/>
      <c r="O746" s="11"/>
      <c r="Z746" s="11"/>
    </row>
    <row r="747">
      <c r="B747" s="48"/>
      <c r="D747" s="49"/>
      <c r="E747" s="50"/>
      <c r="H747" s="51"/>
      <c r="I747" s="52"/>
      <c r="K747" s="53"/>
      <c r="L747" s="32"/>
      <c r="O747" s="11"/>
      <c r="Z747" s="11"/>
    </row>
    <row r="748">
      <c r="B748" s="48"/>
      <c r="D748" s="49"/>
      <c r="E748" s="50"/>
      <c r="H748" s="51"/>
      <c r="I748" s="52"/>
      <c r="K748" s="53"/>
      <c r="L748" s="32"/>
      <c r="O748" s="11"/>
      <c r="Z748" s="11"/>
    </row>
    <row r="749">
      <c r="B749" s="48"/>
      <c r="D749" s="49"/>
      <c r="E749" s="50"/>
      <c r="H749" s="51"/>
      <c r="I749" s="52"/>
      <c r="K749" s="53"/>
      <c r="L749" s="32"/>
      <c r="O749" s="11"/>
      <c r="Z749" s="11"/>
    </row>
    <row r="750">
      <c r="B750" s="48"/>
      <c r="D750" s="49"/>
      <c r="E750" s="50"/>
      <c r="H750" s="51"/>
      <c r="I750" s="52"/>
      <c r="K750" s="53"/>
      <c r="L750" s="32"/>
      <c r="O750" s="11"/>
      <c r="Z750" s="11"/>
    </row>
    <row r="751">
      <c r="B751" s="48"/>
      <c r="D751" s="49"/>
      <c r="E751" s="50"/>
      <c r="H751" s="51"/>
      <c r="I751" s="52"/>
      <c r="K751" s="53"/>
      <c r="L751" s="32"/>
      <c r="O751" s="11"/>
      <c r="Z751" s="11"/>
    </row>
    <row r="752">
      <c r="B752" s="48"/>
      <c r="D752" s="49"/>
      <c r="E752" s="50"/>
      <c r="H752" s="51"/>
      <c r="I752" s="52"/>
      <c r="K752" s="53"/>
      <c r="L752" s="32"/>
      <c r="O752" s="11"/>
      <c r="Z752" s="11"/>
    </row>
    <row r="753">
      <c r="B753" s="48"/>
      <c r="D753" s="49"/>
      <c r="E753" s="50"/>
      <c r="H753" s="51"/>
      <c r="I753" s="52"/>
      <c r="K753" s="53"/>
      <c r="L753" s="32"/>
      <c r="O753" s="11"/>
      <c r="Z753" s="11"/>
    </row>
    <row r="754">
      <c r="B754" s="48"/>
      <c r="D754" s="49"/>
      <c r="E754" s="50"/>
      <c r="H754" s="51"/>
      <c r="I754" s="52"/>
      <c r="K754" s="53"/>
      <c r="L754" s="32"/>
      <c r="O754" s="11"/>
      <c r="Z754" s="11"/>
    </row>
    <row r="755">
      <c r="B755" s="48"/>
      <c r="D755" s="49"/>
      <c r="E755" s="50"/>
      <c r="H755" s="51"/>
      <c r="I755" s="52"/>
      <c r="K755" s="53"/>
      <c r="L755" s="32"/>
      <c r="O755" s="11"/>
      <c r="Z755" s="11"/>
    </row>
    <row r="756">
      <c r="B756" s="48"/>
      <c r="D756" s="49"/>
      <c r="E756" s="50"/>
      <c r="H756" s="51"/>
      <c r="I756" s="52"/>
      <c r="K756" s="53"/>
      <c r="L756" s="32"/>
      <c r="O756" s="11"/>
      <c r="Z756" s="11"/>
    </row>
    <row r="757">
      <c r="B757" s="48"/>
      <c r="D757" s="49"/>
      <c r="E757" s="50"/>
      <c r="H757" s="51"/>
      <c r="I757" s="52"/>
      <c r="K757" s="53"/>
      <c r="L757" s="32"/>
      <c r="O757" s="11"/>
      <c r="Z757" s="11"/>
    </row>
    <row r="758">
      <c r="B758" s="48"/>
      <c r="D758" s="49"/>
      <c r="E758" s="50"/>
      <c r="H758" s="51"/>
      <c r="I758" s="52"/>
      <c r="K758" s="53"/>
      <c r="L758" s="32"/>
      <c r="O758" s="11"/>
      <c r="Z758" s="11"/>
    </row>
    <row r="759">
      <c r="B759" s="48"/>
      <c r="D759" s="49"/>
      <c r="E759" s="50"/>
      <c r="H759" s="51"/>
      <c r="I759" s="52"/>
      <c r="K759" s="53"/>
      <c r="L759" s="32"/>
      <c r="O759" s="11"/>
      <c r="Z759" s="11"/>
    </row>
    <row r="760">
      <c r="B760" s="48"/>
      <c r="D760" s="49"/>
      <c r="E760" s="50"/>
      <c r="H760" s="51"/>
      <c r="I760" s="52"/>
      <c r="K760" s="53"/>
      <c r="L760" s="32"/>
      <c r="O760" s="11"/>
      <c r="Z760" s="11"/>
    </row>
    <row r="761">
      <c r="B761" s="48"/>
      <c r="D761" s="49"/>
      <c r="E761" s="50"/>
      <c r="H761" s="51"/>
      <c r="I761" s="52"/>
      <c r="K761" s="53"/>
      <c r="L761" s="32"/>
      <c r="O761" s="11"/>
      <c r="Z761" s="11"/>
    </row>
    <row r="762">
      <c r="B762" s="48"/>
      <c r="D762" s="49"/>
      <c r="E762" s="50"/>
      <c r="H762" s="51"/>
      <c r="I762" s="52"/>
      <c r="K762" s="53"/>
      <c r="L762" s="32"/>
      <c r="O762" s="11"/>
      <c r="Z762" s="11"/>
    </row>
    <row r="763">
      <c r="B763" s="48"/>
      <c r="D763" s="49"/>
      <c r="E763" s="50"/>
      <c r="H763" s="51"/>
      <c r="I763" s="52"/>
      <c r="K763" s="53"/>
      <c r="L763" s="32"/>
      <c r="O763" s="11"/>
      <c r="Z763" s="11"/>
    </row>
    <row r="764">
      <c r="B764" s="48"/>
      <c r="D764" s="49"/>
      <c r="E764" s="50"/>
      <c r="H764" s="51"/>
      <c r="I764" s="52"/>
      <c r="K764" s="53"/>
      <c r="L764" s="32"/>
      <c r="O764" s="11"/>
      <c r="Z764" s="11"/>
    </row>
    <row r="765">
      <c r="B765" s="48"/>
      <c r="D765" s="49"/>
      <c r="E765" s="50"/>
      <c r="H765" s="51"/>
      <c r="I765" s="52"/>
      <c r="K765" s="53"/>
      <c r="L765" s="32"/>
      <c r="O765" s="11"/>
      <c r="Z765" s="11"/>
    </row>
    <row r="766">
      <c r="B766" s="48"/>
      <c r="D766" s="49"/>
      <c r="E766" s="50"/>
      <c r="H766" s="51"/>
      <c r="I766" s="52"/>
      <c r="K766" s="53"/>
      <c r="L766" s="32"/>
      <c r="O766" s="11"/>
      <c r="Z766" s="11"/>
    </row>
    <row r="767">
      <c r="B767" s="48"/>
      <c r="D767" s="49"/>
      <c r="E767" s="50"/>
      <c r="H767" s="51"/>
      <c r="I767" s="52"/>
      <c r="K767" s="53"/>
      <c r="L767" s="32"/>
      <c r="O767" s="11"/>
      <c r="Z767" s="11"/>
    </row>
    <row r="768">
      <c r="B768" s="48"/>
      <c r="D768" s="49"/>
      <c r="E768" s="50"/>
      <c r="H768" s="51"/>
      <c r="I768" s="52"/>
      <c r="K768" s="53"/>
      <c r="L768" s="32"/>
      <c r="O768" s="11"/>
      <c r="Z768" s="11"/>
    </row>
    <row r="769">
      <c r="B769" s="48"/>
      <c r="D769" s="49"/>
      <c r="E769" s="50"/>
      <c r="H769" s="51"/>
      <c r="I769" s="52"/>
      <c r="K769" s="53"/>
      <c r="L769" s="32"/>
      <c r="O769" s="11"/>
      <c r="Z769" s="11"/>
    </row>
    <row r="770">
      <c r="B770" s="48"/>
      <c r="D770" s="49"/>
      <c r="E770" s="50"/>
      <c r="H770" s="51"/>
      <c r="I770" s="52"/>
      <c r="K770" s="53"/>
      <c r="L770" s="32"/>
      <c r="O770" s="11"/>
      <c r="Z770" s="11"/>
    </row>
    <row r="771">
      <c r="B771" s="48"/>
      <c r="D771" s="49"/>
      <c r="E771" s="50"/>
      <c r="H771" s="51"/>
      <c r="I771" s="52"/>
      <c r="K771" s="53"/>
      <c r="L771" s="32"/>
      <c r="O771" s="11"/>
      <c r="Z771" s="11"/>
    </row>
    <row r="772">
      <c r="B772" s="48"/>
      <c r="D772" s="49"/>
      <c r="E772" s="50"/>
      <c r="H772" s="51"/>
      <c r="I772" s="52"/>
      <c r="K772" s="53"/>
      <c r="L772" s="32"/>
      <c r="O772" s="11"/>
      <c r="Z772" s="11"/>
    </row>
    <row r="773">
      <c r="B773" s="48"/>
      <c r="D773" s="49"/>
      <c r="E773" s="50"/>
      <c r="H773" s="51"/>
      <c r="I773" s="52"/>
      <c r="K773" s="53"/>
      <c r="L773" s="32"/>
      <c r="O773" s="11"/>
      <c r="Z773" s="11"/>
    </row>
    <row r="774">
      <c r="B774" s="48"/>
      <c r="D774" s="49"/>
      <c r="E774" s="50"/>
      <c r="H774" s="51"/>
      <c r="I774" s="52"/>
      <c r="K774" s="53"/>
      <c r="L774" s="32"/>
      <c r="O774" s="11"/>
      <c r="Z774" s="11"/>
    </row>
    <row r="775">
      <c r="B775" s="48"/>
      <c r="D775" s="49"/>
      <c r="E775" s="50"/>
      <c r="H775" s="51"/>
      <c r="I775" s="52"/>
      <c r="K775" s="53"/>
      <c r="L775" s="32"/>
      <c r="O775" s="11"/>
      <c r="Z775" s="11"/>
    </row>
    <row r="776">
      <c r="B776" s="48"/>
      <c r="D776" s="49"/>
      <c r="E776" s="50"/>
      <c r="H776" s="51"/>
      <c r="I776" s="52"/>
      <c r="K776" s="53"/>
      <c r="L776" s="32"/>
      <c r="O776" s="11"/>
      <c r="Z776" s="11"/>
    </row>
    <row r="777">
      <c r="B777" s="48"/>
      <c r="D777" s="49"/>
      <c r="E777" s="50"/>
      <c r="H777" s="51"/>
      <c r="I777" s="52"/>
      <c r="K777" s="53"/>
      <c r="L777" s="32"/>
      <c r="O777" s="11"/>
      <c r="Z777" s="11"/>
    </row>
    <row r="778">
      <c r="B778" s="48"/>
      <c r="D778" s="49"/>
      <c r="E778" s="50"/>
      <c r="H778" s="51"/>
      <c r="I778" s="52"/>
      <c r="K778" s="53"/>
      <c r="L778" s="32"/>
      <c r="O778" s="11"/>
      <c r="Z778" s="11"/>
    </row>
    <row r="779">
      <c r="B779" s="48"/>
      <c r="D779" s="49"/>
      <c r="E779" s="50"/>
      <c r="H779" s="51"/>
      <c r="I779" s="52"/>
      <c r="K779" s="53"/>
      <c r="L779" s="32"/>
      <c r="O779" s="11"/>
      <c r="Z779" s="11"/>
    </row>
    <row r="780">
      <c r="B780" s="48"/>
      <c r="D780" s="49"/>
      <c r="E780" s="50"/>
      <c r="H780" s="51"/>
      <c r="I780" s="52"/>
      <c r="K780" s="53"/>
      <c r="L780" s="32"/>
      <c r="O780" s="11"/>
      <c r="Z780" s="11"/>
    </row>
    <row r="781">
      <c r="B781" s="48"/>
      <c r="D781" s="49"/>
      <c r="E781" s="50"/>
      <c r="H781" s="51"/>
      <c r="I781" s="52"/>
      <c r="K781" s="53"/>
      <c r="L781" s="32"/>
      <c r="O781" s="11"/>
      <c r="Z781" s="11"/>
    </row>
    <row r="782">
      <c r="B782" s="48"/>
      <c r="D782" s="49"/>
      <c r="E782" s="50"/>
      <c r="H782" s="51"/>
      <c r="I782" s="52"/>
      <c r="K782" s="53"/>
      <c r="L782" s="32"/>
      <c r="O782" s="11"/>
      <c r="Z782" s="11"/>
    </row>
    <row r="783">
      <c r="B783" s="48"/>
      <c r="D783" s="49"/>
      <c r="E783" s="50"/>
      <c r="H783" s="51"/>
      <c r="I783" s="52"/>
      <c r="K783" s="53"/>
      <c r="L783" s="32"/>
      <c r="O783" s="11"/>
      <c r="Z783" s="11"/>
    </row>
    <row r="784">
      <c r="B784" s="48"/>
      <c r="D784" s="49"/>
      <c r="E784" s="50"/>
      <c r="H784" s="51"/>
      <c r="I784" s="52"/>
      <c r="K784" s="53"/>
      <c r="L784" s="32"/>
      <c r="O784" s="11"/>
      <c r="Z784" s="11"/>
    </row>
    <row r="785">
      <c r="B785" s="48"/>
      <c r="D785" s="49"/>
      <c r="E785" s="50"/>
      <c r="H785" s="51"/>
      <c r="I785" s="52"/>
      <c r="K785" s="53"/>
      <c r="L785" s="32"/>
      <c r="O785" s="11"/>
      <c r="Z785" s="11"/>
    </row>
    <row r="786">
      <c r="B786" s="48"/>
      <c r="D786" s="49"/>
      <c r="E786" s="50"/>
      <c r="H786" s="51"/>
      <c r="I786" s="52"/>
      <c r="K786" s="53"/>
      <c r="L786" s="32"/>
      <c r="O786" s="11"/>
      <c r="Z786" s="11"/>
    </row>
    <row r="787">
      <c r="B787" s="48"/>
      <c r="D787" s="49"/>
      <c r="E787" s="50"/>
      <c r="H787" s="51"/>
      <c r="I787" s="52"/>
      <c r="K787" s="53"/>
      <c r="L787" s="32"/>
      <c r="O787" s="11"/>
      <c r="Z787" s="11"/>
    </row>
    <row r="788">
      <c r="B788" s="48"/>
      <c r="D788" s="49"/>
      <c r="E788" s="50"/>
      <c r="H788" s="51"/>
      <c r="I788" s="52"/>
      <c r="K788" s="53"/>
      <c r="L788" s="32"/>
      <c r="O788" s="11"/>
      <c r="Z788" s="11"/>
    </row>
    <row r="789">
      <c r="B789" s="48"/>
      <c r="D789" s="49"/>
      <c r="E789" s="50"/>
      <c r="H789" s="51"/>
      <c r="I789" s="52"/>
      <c r="K789" s="53"/>
      <c r="L789" s="32"/>
      <c r="O789" s="11"/>
      <c r="Z789" s="11"/>
    </row>
    <row r="790">
      <c r="B790" s="48"/>
      <c r="D790" s="49"/>
      <c r="E790" s="50"/>
      <c r="H790" s="51"/>
      <c r="I790" s="52"/>
      <c r="K790" s="53"/>
      <c r="L790" s="32"/>
      <c r="O790" s="11"/>
      <c r="Z790" s="11"/>
    </row>
    <row r="791">
      <c r="B791" s="48"/>
      <c r="D791" s="49"/>
      <c r="E791" s="50"/>
      <c r="H791" s="51"/>
      <c r="I791" s="52"/>
      <c r="K791" s="53"/>
      <c r="L791" s="32"/>
      <c r="O791" s="11"/>
      <c r="Z791" s="11"/>
    </row>
    <row r="792">
      <c r="B792" s="48"/>
      <c r="D792" s="49"/>
      <c r="E792" s="50"/>
      <c r="H792" s="51"/>
      <c r="I792" s="52"/>
      <c r="K792" s="53"/>
      <c r="L792" s="32"/>
      <c r="O792" s="11"/>
      <c r="Z792" s="11"/>
    </row>
    <row r="793">
      <c r="B793" s="48"/>
      <c r="D793" s="49"/>
      <c r="E793" s="50"/>
      <c r="H793" s="51"/>
      <c r="I793" s="52"/>
      <c r="K793" s="53"/>
      <c r="L793" s="32"/>
      <c r="O793" s="11"/>
      <c r="Z793" s="11"/>
    </row>
    <row r="794">
      <c r="B794" s="48"/>
      <c r="D794" s="49"/>
      <c r="E794" s="50"/>
      <c r="H794" s="51"/>
      <c r="I794" s="52"/>
      <c r="K794" s="53"/>
      <c r="L794" s="32"/>
      <c r="O794" s="11"/>
      <c r="Z794" s="11"/>
    </row>
    <row r="795">
      <c r="B795" s="48"/>
      <c r="D795" s="49"/>
      <c r="E795" s="50"/>
      <c r="H795" s="51"/>
      <c r="I795" s="52"/>
      <c r="K795" s="53"/>
      <c r="L795" s="32"/>
      <c r="O795" s="11"/>
      <c r="Z795" s="11"/>
    </row>
    <row r="796">
      <c r="B796" s="48"/>
      <c r="D796" s="49"/>
      <c r="E796" s="50"/>
      <c r="H796" s="51"/>
      <c r="I796" s="52"/>
      <c r="K796" s="53"/>
      <c r="L796" s="32"/>
      <c r="O796" s="11"/>
      <c r="Z796" s="11"/>
    </row>
    <row r="797">
      <c r="B797" s="48"/>
      <c r="D797" s="49"/>
      <c r="E797" s="50"/>
      <c r="H797" s="51"/>
      <c r="I797" s="52"/>
      <c r="K797" s="53"/>
      <c r="L797" s="32"/>
      <c r="O797" s="11"/>
      <c r="Z797" s="11"/>
    </row>
    <row r="798">
      <c r="B798" s="48"/>
      <c r="D798" s="49"/>
      <c r="E798" s="50"/>
      <c r="H798" s="51"/>
      <c r="I798" s="52"/>
      <c r="K798" s="53"/>
      <c r="L798" s="32"/>
      <c r="O798" s="11"/>
      <c r="Z798" s="11"/>
    </row>
    <row r="799">
      <c r="B799" s="48"/>
      <c r="D799" s="49"/>
      <c r="E799" s="50"/>
      <c r="H799" s="51"/>
      <c r="I799" s="52"/>
      <c r="K799" s="53"/>
      <c r="L799" s="32"/>
      <c r="O799" s="11"/>
      <c r="Z799" s="11"/>
    </row>
    <row r="800">
      <c r="B800" s="48"/>
      <c r="D800" s="49"/>
      <c r="E800" s="50"/>
      <c r="H800" s="51"/>
      <c r="I800" s="52"/>
      <c r="K800" s="53"/>
      <c r="L800" s="32"/>
      <c r="O800" s="11"/>
      <c r="Z800" s="11"/>
    </row>
    <row r="801">
      <c r="B801" s="48"/>
      <c r="D801" s="49"/>
      <c r="E801" s="50"/>
      <c r="H801" s="51"/>
      <c r="I801" s="52"/>
      <c r="K801" s="53"/>
      <c r="L801" s="32"/>
      <c r="O801" s="11"/>
      <c r="Z801" s="11"/>
    </row>
    <row r="802">
      <c r="B802" s="48"/>
      <c r="D802" s="49"/>
      <c r="E802" s="50"/>
      <c r="H802" s="51"/>
      <c r="I802" s="52"/>
      <c r="K802" s="53"/>
      <c r="L802" s="32"/>
      <c r="O802" s="11"/>
      <c r="Z802" s="11"/>
    </row>
    <row r="803">
      <c r="B803" s="48"/>
      <c r="D803" s="49"/>
      <c r="E803" s="50"/>
      <c r="H803" s="51"/>
      <c r="I803" s="52"/>
      <c r="K803" s="53"/>
      <c r="L803" s="32"/>
      <c r="O803" s="11"/>
      <c r="Z803" s="11"/>
    </row>
    <row r="804">
      <c r="B804" s="48"/>
      <c r="D804" s="49"/>
      <c r="E804" s="50"/>
      <c r="H804" s="51"/>
      <c r="I804" s="52"/>
      <c r="K804" s="53"/>
      <c r="L804" s="32"/>
      <c r="O804" s="11"/>
      <c r="Z804" s="11"/>
    </row>
    <row r="805">
      <c r="B805" s="48"/>
      <c r="D805" s="49"/>
      <c r="E805" s="50"/>
      <c r="H805" s="51"/>
      <c r="I805" s="52"/>
      <c r="K805" s="53"/>
      <c r="L805" s="32"/>
      <c r="O805" s="11"/>
      <c r="Z805" s="11"/>
    </row>
    <row r="806">
      <c r="B806" s="48"/>
      <c r="D806" s="49"/>
      <c r="E806" s="50"/>
      <c r="H806" s="51"/>
      <c r="I806" s="52"/>
      <c r="K806" s="53"/>
      <c r="L806" s="32"/>
      <c r="O806" s="11"/>
      <c r="Z806" s="11"/>
    </row>
    <row r="807">
      <c r="B807" s="48"/>
      <c r="D807" s="49"/>
      <c r="E807" s="50"/>
      <c r="H807" s="51"/>
      <c r="I807" s="52"/>
      <c r="K807" s="53"/>
      <c r="L807" s="32"/>
      <c r="O807" s="11"/>
      <c r="Z807" s="11"/>
    </row>
    <row r="808">
      <c r="B808" s="48"/>
      <c r="D808" s="49"/>
      <c r="E808" s="50"/>
      <c r="H808" s="51"/>
      <c r="I808" s="52"/>
      <c r="K808" s="53"/>
      <c r="L808" s="32"/>
      <c r="O808" s="11"/>
      <c r="Z808" s="11"/>
    </row>
    <row r="809">
      <c r="B809" s="48"/>
      <c r="D809" s="49"/>
      <c r="E809" s="50"/>
      <c r="H809" s="51"/>
      <c r="I809" s="52"/>
      <c r="K809" s="53"/>
      <c r="L809" s="32"/>
      <c r="O809" s="11"/>
      <c r="Z809" s="11"/>
    </row>
    <row r="810">
      <c r="B810" s="48"/>
      <c r="D810" s="49"/>
      <c r="E810" s="50"/>
      <c r="H810" s="51"/>
      <c r="I810" s="52"/>
      <c r="K810" s="53"/>
      <c r="L810" s="32"/>
      <c r="O810" s="11"/>
      <c r="Z810" s="11"/>
    </row>
    <row r="811">
      <c r="B811" s="48"/>
      <c r="D811" s="49"/>
      <c r="E811" s="50"/>
      <c r="H811" s="51"/>
      <c r="I811" s="52"/>
      <c r="K811" s="53"/>
      <c r="L811" s="32"/>
      <c r="O811" s="11"/>
      <c r="Z811" s="11"/>
    </row>
    <row r="812">
      <c r="B812" s="48"/>
      <c r="D812" s="49"/>
      <c r="E812" s="50"/>
      <c r="H812" s="51"/>
      <c r="I812" s="52"/>
      <c r="K812" s="53"/>
      <c r="L812" s="32"/>
      <c r="O812" s="11"/>
      <c r="Z812" s="11"/>
    </row>
    <row r="813">
      <c r="B813" s="48"/>
      <c r="D813" s="49"/>
      <c r="E813" s="50"/>
      <c r="H813" s="51"/>
      <c r="I813" s="52"/>
      <c r="K813" s="53"/>
      <c r="L813" s="32"/>
      <c r="O813" s="11"/>
      <c r="Z813" s="11"/>
    </row>
    <row r="814">
      <c r="B814" s="48"/>
      <c r="D814" s="49"/>
      <c r="E814" s="50"/>
      <c r="H814" s="51"/>
      <c r="I814" s="52"/>
      <c r="K814" s="53"/>
      <c r="L814" s="32"/>
      <c r="O814" s="11"/>
      <c r="Z814" s="11"/>
    </row>
    <row r="815">
      <c r="B815" s="48"/>
      <c r="D815" s="49"/>
      <c r="E815" s="50"/>
      <c r="H815" s="51"/>
      <c r="I815" s="52"/>
      <c r="K815" s="53"/>
      <c r="L815" s="32"/>
      <c r="O815" s="11"/>
      <c r="Z815" s="11"/>
    </row>
    <row r="816">
      <c r="B816" s="48"/>
      <c r="D816" s="49"/>
      <c r="E816" s="50"/>
      <c r="H816" s="51"/>
      <c r="I816" s="52"/>
      <c r="K816" s="53"/>
      <c r="L816" s="32"/>
      <c r="O816" s="11"/>
      <c r="Z816" s="11"/>
    </row>
    <row r="817">
      <c r="B817" s="48"/>
      <c r="D817" s="49"/>
      <c r="E817" s="50"/>
      <c r="H817" s="51"/>
      <c r="I817" s="52"/>
      <c r="K817" s="53"/>
      <c r="L817" s="32"/>
      <c r="O817" s="11"/>
      <c r="Z817" s="11"/>
    </row>
    <row r="818">
      <c r="B818" s="48"/>
      <c r="D818" s="49"/>
      <c r="E818" s="50"/>
      <c r="H818" s="51"/>
      <c r="I818" s="52"/>
      <c r="K818" s="53"/>
      <c r="L818" s="32"/>
      <c r="O818" s="11"/>
      <c r="Z818" s="11"/>
    </row>
    <row r="819">
      <c r="B819" s="48"/>
      <c r="D819" s="49"/>
      <c r="E819" s="50"/>
      <c r="H819" s="51"/>
      <c r="I819" s="52"/>
      <c r="K819" s="53"/>
      <c r="L819" s="32"/>
      <c r="O819" s="11"/>
      <c r="Z819" s="11"/>
    </row>
    <row r="820">
      <c r="B820" s="48"/>
      <c r="D820" s="49"/>
      <c r="E820" s="50"/>
      <c r="H820" s="51"/>
      <c r="I820" s="52"/>
      <c r="K820" s="53"/>
      <c r="L820" s="32"/>
      <c r="O820" s="11"/>
      <c r="Z820" s="11"/>
    </row>
    <row r="821">
      <c r="B821" s="48"/>
      <c r="D821" s="49"/>
      <c r="E821" s="50"/>
      <c r="H821" s="51"/>
      <c r="I821" s="52"/>
      <c r="K821" s="53"/>
      <c r="L821" s="32"/>
      <c r="O821" s="11"/>
      <c r="Z821" s="11"/>
    </row>
    <row r="822">
      <c r="B822" s="48"/>
      <c r="D822" s="49"/>
      <c r="E822" s="50"/>
      <c r="H822" s="51"/>
      <c r="I822" s="52"/>
      <c r="K822" s="53"/>
      <c r="L822" s="32"/>
      <c r="O822" s="11"/>
      <c r="Z822" s="11"/>
    </row>
    <row r="823">
      <c r="B823" s="48"/>
      <c r="D823" s="49"/>
      <c r="E823" s="50"/>
      <c r="H823" s="51"/>
      <c r="I823" s="52"/>
      <c r="K823" s="53"/>
      <c r="L823" s="32"/>
      <c r="O823" s="11"/>
      <c r="Z823" s="11"/>
    </row>
    <row r="824">
      <c r="B824" s="48"/>
      <c r="D824" s="49"/>
      <c r="E824" s="50"/>
      <c r="H824" s="51"/>
      <c r="I824" s="52"/>
      <c r="K824" s="53"/>
      <c r="L824" s="32"/>
      <c r="O824" s="11"/>
      <c r="Z824" s="11"/>
    </row>
    <row r="825">
      <c r="B825" s="48"/>
      <c r="D825" s="49"/>
      <c r="E825" s="50"/>
      <c r="H825" s="51"/>
      <c r="I825" s="52"/>
      <c r="K825" s="53"/>
      <c r="L825" s="32"/>
      <c r="O825" s="11"/>
      <c r="Z825" s="11"/>
    </row>
    <row r="826">
      <c r="B826" s="48"/>
      <c r="D826" s="49"/>
      <c r="E826" s="50"/>
      <c r="H826" s="51"/>
      <c r="I826" s="52"/>
      <c r="K826" s="53"/>
      <c r="L826" s="32"/>
      <c r="O826" s="11"/>
      <c r="Z826" s="11"/>
    </row>
    <row r="827">
      <c r="B827" s="48"/>
      <c r="D827" s="49"/>
      <c r="E827" s="50"/>
      <c r="H827" s="51"/>
      <c r="I827" s="52"/>
      <c r="K827" s="53"/>
      <c r="L827" s="32"/>
      <c r="O827" s="11"/>
      <c r="Z827" s="11"/>
    </row>
    <row r="828">
      <c r="B828" s="48"/>
      <c r="D828" s="49"/>
      <c r="E828" s="50"/>
      <c r="H828" s="51"/>
      <c r="I828" s="52"/>
      <c r="K828" s="53"/>
      <c r="L828" s="32"/>
      <c r="O828" s="11"/>
      <c r="Z828" s="11"/>
    </row>
    <row r="829">
      <c r="B829" s="48"/>
      <c r="D829" s="49"/>
      <c r="E829" s="50"/>
      <c r="H829" s="51"/>
      <c r="I829" s="52"/>
      <c r="K829" s="53"/>
      <c r="L829" s="32"/>
      <c r="O829" s="11"/>
      <c r="Z829" s="11"/>
    </row>
    <row r="830">
      <c r="B830" s="48"/>
      <c r="D830" s="49"/>
      <c r="E830" s="50"/>
      <c r="H830" s="51"/>
      <c r="I830" s="52"/>
      <c r="K830" s="53"/>
      <c r="L830" s="32"/>
      <c r="O830" s="11"/>
      <c r="Z830" s="11"/>
    </row>
    <row r="831">
      <c r="B831" s="48"/>
      <c r="D831" s="49"/>
      <c r="E831" s="50"/>
      <c r="H831" s="51"/>
      <c r="I831" s="52"/>
      <c r="K831" s="53"/>
      <c r="L831" s="32"/>
      <c r="O831" s="11"/>
      <c r="Z831" s="11"/>
    </row>
    <row r="832">
      <c r="B832" s="48"/>
      <c r="D832" s="49"/>
      <c r="E832" s="50"/>
      <c r="H832" s="51"/>
      <c r="I832" s="52"/>
      <c r="K832" s="53"/>
      <c r="L832" s="32"/>
      <c r="O832" s="11"/>
      <c r="Z832" s="11"/>
    </row>
    <row r="833">
      <c r="B833" s="48"/>
      <c r="D833" s="49"/>
      <c r="E833" s="50"/>
      <c r="H833" s="51"/>
      <c r="I833" s="52"/>
      <c r="K833" s="53"/>
      <c r="L833" s="32"/>
      <c r="O833" s="11"/>
      <c r="Z833" s="11"/>
    </row>
    <row r="834">
      <c r="B834" s="48"/>
      <c r="D834" s="49"/>
      <c r="E834" s="50"/>
      <c r="H834" s="51"/>
      <c r="I834" s="52"/>
      <c r="K834" s="53"/>
      <c r="L834" s="32"/>
      <c r="O834" s="11"/>
      <c r="Z834" s="11"/>
    </row>
    <row r="835">
      <c r="B835" s="48"/>
      <c r="D835" s="49"/>
      <c r="E835" s="50"/>
      <c r="H835" s="51"/>
      <c r="I835" s="52"/>
      <c r="K835" s="53"/>
      <c r="L835" s="32"/>
      <c r="O835" s="11"/>
      <c r="Z835" s="11"/>
    </row>
    <row r="836">
      <c r="B836" s="48"/>
      <c r="D836" s="49"/>
      <c r="E836" s="50"/>
      <c r="H836" s="51"/>
      <c r="I836" s="52"/>
      <c r="K836" s="53"/>
      <c r="L836" s="32"/>
      <c r="O836" s="11"/>
      <c r="Z836" s="11"/>
    </row>
    <row r="837">
      <c r="B837" s="48"/>
      <c r="D837" s="49"/>
      <c r="E837" s="50"/>
      <c r="H837" s="51"/>
      <c r="I837" s="52"/>
      <c r="K837" s="53"/>
      <c r="L837" s="32"/>
      <c r="O837" s="11"/>
      <c r="Z837" s="11"/>
    </row>
    <row r="838">
      <c r="B838" s="48"/>
      <c r="D838" s="49"/>
      <c r="E838" s="50"/>
      <c r="H838" s="51"/>
      <c r="I838" s="52"/>
      <c r="K838" s="53"/>
      <c r="L838" s="32"/>
      <c r="O838" s="11"/>
      <c r="Z838" s="11"/>
    </row>
    <row r="839">
      <c r="B839" s="48"/>
      <c r="D839" s="49"/>
      <c r="E839" s="50"/>
      <c r="H839" s="51"/>
      <c r="I839" s="52"/>
      <c r="K839" s="53"/>
      <c r="L839" s="32"/>
      <c r="O839" s="11"/>
      <c r="Z839" s="11"/>
    </row>
    <row r="840">
      <c r="B840" s="48"/>
      <c r="D840" s="49"/>
      <c r="E840" s="50"/>
      <c r="H840" s="51"/>
      <c r="I840" s="52"/>
      <c r="K840" s="53"/>
      <c r="L840" s="32"/>
      <c r="O840" s="11"/>
      <c r="Z840" s="11"/>
    </row>
    <row r="841">
      <c r="B841" s="48"/>
      <c r="D841" s="49"/>
      <c r="E841" s="50"/>
      <c r="H841" s="51"/>
      <c r="I841" s="52"/>
      <c r="K841" s="53"/>
      <c r="L841" s="32"/>
      <c r="O841" s="11"/>
      <c r="Z841" s="11"/>
    </row>
    <row r="842">
      <c r="B842" s="48"/>
      <c r="D842" s="49"/>
      <c r="E842" s="50"/>
      <c r="H842" s="51"/>
      <c r="I842" s="52"/>
      <c r="K842" s="53"/>
      <c r="L842" s="32"/>
      <c r="O842" s="11"/>
      <c r="Z842" s="11"/>
    </row>
    <row r="843">
      <c r="B843" s="48"/>
      <c r="D843" s="49"/>
      <c r="E843" s="50"/>
      <c r="H843" s="51"/>
      <c r="I843" s="52"/>
      <c r="K843" s="53"/>
      <c r="L843" s="32"/>
      <c r="O843" s="11"/>
      <c r="Z843" s="11"/>
    </row>
    <row r="844">
      <c r="B844" s="48"/>
      <c r="D844" s="49"/>
      <c r="E844" s="50"/>
      <c r="H844" s="51"/>
      <c r="I844" s="52"/>
      <c r="K844" s="53"/>
      <c r="L844" s="32"/>
      <c r="O844" s="11"/>
      <c r="Z844" s="11"/>
    </row>
    <row r="845">
      <c r="B845" s="48"/>
      <c r="D845" s="49"/>
      <c r="E845" s="50"/>
      <c r="H845" s="51"/>
      <c r="I845" s="52"/>
      <c r="K845" s="53"/>
      <c r="L845" s="32"/>
      <c r="O845" s="11"/>
      <c r="Z845" s="11"/>
    </row>
    <row r="846">
      <c r="B846" s="48"/>
      <c r="D846" s="49"/>
      <c r="E846" s="50"/>
      <c r="H846" s="51"/>
      <c r="I846" s="52"/>
      <c r="K846" s="53"/>
      <c r="L846" s="32"/>
      <c r="O846" s="11"/>
      <c r="Z846" s="11"/>
    </row>
    <row r="847">
      <c r="B847" s="48"/>
      <c r="D847" s="49"/>
      <c r="E847" s="50"/>
      <c r="H847" s="51"/>
      <c r="I847" s="52"/>
      <c r="K847" s="53"/>
      <c r="L847" s="32"/>
      <c r="O847" s="11"/>
      <c r="Z847" s="11"/>
    </row>
    <row r="848">
      <c r="B848" s="48"/>
      <c r="D848" s="49"/>
      <c r="E848" s="50"/>
      <c r="H848" s="51"/>
      <c r="I848" s="52"/>
      <c r="K848" s="53"/>
      <c r="L848" s="32"/>
      <c r="O848" s="11"/>
      <c r="Z848" s="11"/>
    </row>
    <row r="849">
      <c r="B849" s="48"/>
      <c r="D849" s="49"/>
      <c r="E849" s="50"/>
      <c r="H849" s="51"/>
      <c r="I849" s="52"/>
      <c r="K849" s="53"/>
      <c r="L849" s="32"/>
      <c r="O849" s="11"/>
      <c r="Z849" s="11"/>
    </row>
    <row r="850">
      <c r="B850" s="48"/>
      <c r="D850" s="49"/>
      <c r="E850" s="50"/>
      <c r="H850" s="51"/>
      <c r="I850" s="52"/>
      <c r="K850" s="53"/>
      <c r="L850" s="32"/>
      <c r="O850" s="11"/>
      <c r="Z850" s="11"/>
    </row>
    <row r="851">
      <c r="B851" s="48"/>
      <c r="D851" s="49"/>
      <c r="E851" s="50"/>
      <c r="H851" s="51"/>
      <c r="I851" s="52"/>
      <c r="K851" s="53"/>
      <c r="L851" s="32"/>
      <c r="O851" s="11"/>
      <c r="Z851" s="11"/>
    </row>
    <row r="852">
      <c r="B852" s="48"/>
      <c r="D852" s="49"/>
      <c r="E852" s="50"/>
      <c r="H852" s="51"/>
      <c r="I852" s="52"/>
      <c r="K852" s="53"/>
      <c r="L852" s="32"/>
      <c r="O852" s="11"/>
      <c r="Z852" s="11"/>
    </row>
    <row r="853">
      <c r="B853" s="48"/>
      <c r="D853" s="49"/>
      <c r="E853" s="50"/>
      <c r="H853" s="51"/>
      <c r="I853" s="52"/>
      <c r="K853" s="53"/>
      <c r="L853" s="32"/>
      <c r="O853" s="11"/>
      <c r="Z853" s="11"/>
    </row>
    <row r="854">
      <c r="B854" s="48"/>
      <c r="D854" s="49"/>
      <c r="E854" s="50"/>
      <c r="H854" s="51"/>
      <c r="I854" s="52"/>
      <c r="K854" s="53"/>
      <c r="L854" s="32"/>
      <c r="O854" s="11"/>
      <c r="Z854" s="11"/>
    </row>
    <row r="855">
      <c r="B855" s="48"/>
      <c r="D855" s="49"/>
      <c r="E855" s="50"/>
      <c r="H855" s="51"/>
      <c r="I855" s="52"/>
      <c r="K855" s="53"/>
      <c r="L855" s="32"/>
      <c r="O855" s="11"/>
      <c r="Z855" s="11"/>
    </row>
    <row r="856">
      <c r="B856" s="48"/>
      <c r="D856" s="49"/>
      <c r="E856" s="50"/>
      <c r="H856" s="51"/>
      <c r="I856" s="52"/>
      <c r="K856" s="53"/>
      <c r="L856" s="32"/>
      <c r="O856" s="11"/>
      <c r="Z856" s="11"/>
    </row>
    <row r="857">
      <c r="B857" s="48"/>
      <c r="D857" s="49"/>
      <c r="E857" s="50"/>
      <c r="H857" s="51"/>
      <c r="I857" s="52"/>
      <c r="K857" s="53"/>
      <c r="L857" s="32"/>
      <c r="O857" s="11"/>
      <c r="Z857" s="11"/>
    </row>
    <row r="858">
      <c r="B858" s="48"/>
      <c r="D858" s="49"/>
      <c r="E858" s="50"/>
      <c r="H858" s="51"/>
      <c r="I858" s="52"/>
      <c r="K858" s="53"/>
      <c r="L858" s="32"/>
      <c r="O858" s="11"/>
      <c r="Z858" s="11"/>
    </row>
    <row r="859">
      <c r="B859" s="48"/>
      <c r="D859" s="49"/>
      <c r="E859" s="50"/>
      <c r="H859" s="51"/>
      <c r="I859" s="52"/>
      <c r="K859" s="53"/>
      <c r="L859" s="32"/>
      <c r="O859" s="11"/>
      <c r="Z859" s="11"/>
    </row>
    <row r="860">
      <c r="B860" s="48"/>
      <c r="D860" s="49"/>
      <c r="E860" s="50"/>
      <c r="H860" s="51"/>
      <c r="I860" s="52"/>
      <c r="K860" s="53"/>
      <c r="L860" s="32"/>
      <c r="O860" s="11"/>
      <c r="Z860" s="11"/>
    </row>
    <row r="861">
      <c r="B861" s="48"/>
      <c r="D861" s="49"/>
      <c r="E861" s="50"/>
      <c r="H861" s="51"/>
      <c r="I861" s="52"/>
      <c r="K861" s="53"/>
      <c r="L861" s="32"/>
      <c r="O861" s="11"/>
      <c r="Z861" s="11"/>
    </row>
    <row r="862">
      <c r="B862" s="48"/>
      <c r="D862" s="49"/>
      <c r="E862" s="50"/>
      <c r="H862" s="51"/>
      <c r="I862" s="52"/>
      <c r="K862" s="53"/>
      <c r="L862" s="32"/>
      <c r="O862" s="11"/>
      <c r="Z862" s="11"/>
    </row>
    <row r="863">
      <c r="B863" s="48"/>
      <c r="D863" s="49"/>
      <c r="E863" s="50"/>
      <c r="H863" s="51"/>
      <c r="I863" s="52"/>
      <c r="K863" s="53"/>
      <c r="L863" s="32"/>
      <c r="O863" s="11"/>
      <c r="Z863" s="11"/>
    </row>
    <row r="864">
      <c r="B864" s="48"/>
      <c r="D864" s="49"/>
      <c r="E864" s="50"/>
      <c r="H864" s="51"/>
      <c r="I864" s="52"/>
      <c r="K864" s="53"/>
      <c r="L864" s="32"/>
      <c r="O864" s="11"/>
      <c r="Z864" s="11"/>
    </row>
    <row r="865">
      <c r="B865" s="48"/>
      <c r="D865" s="49"/>
      <c r="E865" s="50"/>
      <c r="H865" s="51"/>
      <c r="I865" s="52"/>
      <c r="K865" s="53"/>
      <c r="L865" s="32"/>
      <c r="O865" s="11"/>
      <c r="Z865" s="11"/>
    </row>
    <row r="866">
      <c r="B866" s="48"/>
      <c r="D866" s="49"/>
      <c r="E866" s="50"/>
      <c r="H866" s="51"/>
      <c r="I866" s="52"/>
      <c r="K866" s="53"/>
      <c r="L866" s="32"/>
      <c r="O866" s="11"/>
      <c r="Z866" s="11"/>
    </row>
    <row r="867">
      <c r="B867" s="48"/>
      <c r="D867" s="49"/>
      <c r="E867" s="50"/>
      <c r="H867" s="51"/>
      <c r="I867" s="52"/>
      <c r="K867" s="53"/>
      <c r="L867" s="32"/>
      <c r="O867" s="11"/>
      <c r="Z867" s="11"/>
    </row>
    <row r="868">
      <c r="B868" s="48"/>
      <c r="D868" s="49"/>
      <c r="E868" s="50"/>
      <c r="H868" s="51"/>
      <c r="I868" s="52"/>
      <c r="K868" s="53"/>
      <c r="L868" s="32"/>
      <c r="O868" s="11"/>
      <c r="Z868" s="11"/>
    </row>
    <row r="869">
      <c r="B869" s="48"/>
      <c r="D869" s="49"/>
      <c r="E869" s="50"/>
      <c r="H869" s="51"/>
      <c r="I869" s="52"/>
      <c r="K869" s="53"/>
      <c r="L869" s="32"/>
      <c r="O869" s="11"/>
      <c r="Z869" s="11"/>
    </row>
    <row r="870">
      <c r="B870" s="48"/>
      <c r="D870" s="49"/>
      <c r="E870" s="50"/>
      <c r="H870" s="51"/>
      <c r="I870" s="52"/>
      <c r="K870" s="53"/>
      <c r="L870" s="32"/>
      <c r="O870" s="11"/>
      <c r="Z870" s="11"/>
    </row>
    <row r="871">
      <c r="B871" s="48"/>
      <c r="D871" s="49"/>
      <c r="E871" s="50"/>
      <c r="H871" s="51"/>
      <c r="I871" s="52"/>
      <c r="K871" s="53"/>
      <c r="L871" s="32"/>
      <c r="O871" s="11"/>
      <c r="Z871" s="11"/>
    </row>
    <row r="872">
      <c r="B872" s="48"/>
      <c r="D872" s="49"/>
      <c r="E872" s="50"/>
      <c r="H872" s="51"/>
      <c r="I872" s="52"/>
      <c r="K872" s="53"/>
      <c r="L872" s="32"/>
      <c r="O872" s="11"/>
      <c r="Z872" s="11"/>
    </row>
    <row r="873">
      <c r="B873" s="48"/>
      <c r="D873" s="49"/>
      <c r="E873" s="50"/>
      <c r="H873" s="51"/>
      <c r="I873" s="52"/>
      <c r="K873" s="53"/>
      <c r="L873" s="32"/>
      <c r="O873" s="11"/>
      <c r="Z873" s="11"/>
    </row>
    <row r="874">
      <c r="B874" s="48"/>
      <c r="D874" s="49"/>
      <c r="E874" s="50"/>
      <c r="H874" s="51"/>
      <c r="I874" s="52"/>
      <c r="K874" s="53"/>
      <c r="L874" s="32"/>
      <c r="O874" s="11"/>
      <c r="Z874" s="11"/>
    </row>
    <row r="875">
      <c r="B875" s="48"/>
      <c r="D875" s="49"/>
      <c r="E875" s="50"/>
      <c r="H875" s="51"/>
      <c r="I875" s="52"/>
      <c r="K875" s="53"/>
      <c r="L875" s="32"/>
      <c r="O875" s="11"/>
      <c r="Z875" s="11"/>
    </row>
    <row r="876">
      <c r="B876" s="48"/>
      <c r="D876" s="49"/>
      <c r="E876" s="50"/>
      <c r="H876" s="51"/>
      <c r="I876" s="52"/>
      <c r="K876" s="53"/>
      <c r="L876" s="32"/>
      <c r="O876" s="11"/>
      <c r="Z876" s="11"/>
    </row>
    <row r="877">
      <c r="B877" s="48"/>
      <c r="D877" s="49"/>
      <c r="E877" s="50"/>
      <c r="H877" s="51"/>
      <c r="I877" s="52"/>
      <c r="K877" s="53"/>
      <c r="L877" s="32"/>
      <c r="O877" s="11"/>
      <c r="Z877" s="11"/>
    </row>
    <row r="878">
      <c r="B878" s="48"/>
      <c r="D878" s="49"/>
      <c r="E878" s="50"/>
      <c r="H878" s="51"/>
      <c r="I878" s="52"/>
      <c r="K878" s="53"/>
      <c r="L878" s="32"/>
      <c r="O878" s="11"/>
      <c r="Z878" s="11"/>
    </row>
    <row r="879">
      <c r="B879" s="48"/>
      <c r="D879" s="49"/>
      <c r="E879" s="50"/>
      <c r="H879" s="51"/>
      <c r="I879" s="52"/>
      <c r="K879" s="53"/>
      <c r="L879" s="32"/>
      <c r="O879" s="11"/>
      <c r="Z879" s="11"/>
    </row>
    <row r="880">
      <c r="B880" s="48"/>
      <c r="D880" s="49"/>
      <c r="E880" s="50"/>
      <c r="H880" s="51"/>
      <c r="I880" s="52"/>
      <c r="K880" s="53"/>
      <c r="L880" s="32"/>
      <c r="O880" s="11"/>
      <c r="Z880" s="11"/>
    </row>
    <row r="881">
      <c r="B881" s="48"/>
      <c r="D881" s="49"/>
      <c r="E881" s="50"/>
      <c r="H881" s="51"/>
      <c r="I881" s="52"/>
      <c r="K881" s="53"/>
      <c r="L881" s="32"/>
      <c r="O881" s="11"/>
      <c r="Z881" s="11"/>
    </row>
    <row r="882">
      <c r="B882" s="48"/>
      <c r="D882" s="49"/>
      <c r="E882" s="50"/>
      <c r="H882" s="51"/>
      <c r="I882" s="52"/>
      <c r="K882" s="53"/>
      <c r="L882" s="32"/>
      <c r="O882" s="11"/>
      <c r="Z882" s="11"/>
    </row>
    <row r="883">
      <c r="B883" s="48"/>
      <c r="D883" s="49"/>
      <c r="E883" s="50"/>
      <c r="H883" s="51"/>
      <c r="I883" s="52"/>
      <c r="K883" s="53"/>
      <c r="L883" s="32"/>
      <c r="O883" s="11"/>
      <c r="Z883" s="11"/>
    </row>
    <row r="884">
      <c r="B884" s="48"/>
      <c r="D884" s="49"/>
      <c r="E884" s="50"/>
      <c r="H884" s="51"/>
      <c r="I884" s="52"/>
      <c r="K884" s="53"/>
      <c r="L884" s="32"/>
      <c r="O884" s="11"/>
      <c r="Z884" s="11"/>
    </row>
    <row r="885">
      <c r="B885" s="48"/>
      <c r="D885" s="49"/>
      <c r="E885" s="50"/>
      <c r="H885" s="51"/>
      <c r="I885" s="52"/>
      <c r="K885" s="53"/>
      <c r="L885" s="32"/>
      <c r="O885" s="11"/>
      <c r="Z885" s="11"/>
    </row>
    <row r="886">
      <c r="B886" s="48"/>
      <c r="D886" s="49"/>
      <c r="E886" s="50"/>
      <c r="H886" s="51"/>
      <c r="I886" s="52"/>
      <c r="K886" s="53"/>
      <c r="L886" s="32"/>
      <c r="O886" s="11"/>
      <c r="Z886" s="11"/>
    </row>
    <row r="887">
      <c r="B887" s="48"/>
      <c r="D887" s="49"/>
      <c r="E887" s="50"/>
      <c r="H887" s="51"/>
      <c r="I887" s="52"/>
      <c r="K887" s="53"/>
      <c r="L887" s="32"/>
      <c r="O887" s="11"/>
      <c r="Z887" s="11"/>
    </row>
    <row r="888">
      <c r="B888" s="48"/>
      <c r="D888" s="49"/>
      <c r="E888" s="50"/>
      <c r="H888" s="51"/>
      <c r="I888" s="52"/>
      <c r="K888" s="53"/>
      <c r="L888" s="32"/>
      <c r="O888" s="11"/>
      <c r="Z888" s="11"/>
    </row>
    <row r="889">
      <c r="B889" s="48"/>
      <c r="D889" s="49"/>
      <c r="E889" s="50"/>
      <c r="H889" s="51"/>
      <c r="I889" s="52"/>
      <c r="K889" s="53"/>
      <c r="L889" s="32"/>
      <c r="O889" s="11"/>
      <c r="Z889" s="11"/>
    </row>
    <row r="890">
      <c r="B890" s="48"/>
      <c r="D890" s="49"/>
      <c r="E890" s="50"/>
      <c r="H890" s="51"/>
      <c r="I890" s="52"/>
      <c r="K890" s="53"/>
      <c r="L890" s="32"/>
      <c r="O890" s="11"/>
      <c r="Z890" s="11"/>
    </row>
    <row r="891">
      <c r="B891" s="48"/>
      <c r="D891" s="49"/>
      <c r="E891" s="50"/>
      <c r="H891" s="51"/>
      <c r="I891" s="52"/>
      <c r="K891" s="53"/>
      <c r="L891" s="32"/>
      <c r="O891" s="11"/>
      <c r="Z891" s="11"/>
    </row>
    <row r="892">
      <c r="B892" s="48"/>
      <c r="D892" s="49"/>
      <c r="E892" s="50"/>
      <c r="H892" s="51"/>
      <c r="I892" s="52"/>
      <c r="K892" s="53"/>
      <c r="L892" s="32"/>
      <c r="O892" s="11"/>
      <c r="Z892" s="11"/>
    </row>
    <row r="893">
      <c r="B893" s="48"/>
      <c r="D893" s="49"/>
      <c r="E893" s="50"/>
      <c r="H893" s="51"/>
      <c r="I893" s="52"/>
      <c r="K893" s="53"/>
      <c r="L893" s="32"/>
      <c r="O893" s="11"/>
      <c r="Z893" s="11"/>
    </row>
    <row r="894">
      <c r="B894" s="48"/>
      <c r="D894" s="49"/>
      <c r="E894" s="50"/>
      <c r="H894" s="51"/>
      <c r="I894" s="52"/>
      <c r="K894" s="53"/>
      <c r="L894" s="32"/>
      <c r="O894" s="11"/>
      <c r="Z894" s="11"/>
    </row>
    <row r="895">
      <c r="B895" s="48"/>
      <c r="D895" s="49"/>
      <c r="E895" s="50"/>
      <c r="H895" s="51"/>
      <c r="I895" s="52"/>
      <c r="K895" s="53"/>
      <c r="L895" s="32"/>
      <c r="O895" s="11"/>
      <c r="Z895" s="11"/>
    </row>
    <row r="896">
      <c r="B896" s="48"/>
      <c r="D896" s="49"/>
      <c r="E896" s="50"/>
      <c r="H896" s="51"/>
      <c r="I896" s="52"/>
      <c r="K896" s="53"/>
      <c r="L896" s="32"/>
      <c r="O896" s="11"/>
      <c r="Z896" s="11"/>
    </row>
    <row r="897">
      <c r="B897" s="48"/>
      <c r="D897" s="49"/>
      <c r="E897" s="50"/>
      <c r="H897" s="51"/>
      <c r="I897" s="52"/>
      <c r="K897" s="53"/>
      <c r="L897" s="32"/>
      <c r="O897" s="11"/>
      <c r="Z897" s="11"/>
    </row>
    <row r="898">
      <c r="B898" s="48"/>
      <c r="D898" s="49"/>
      <c r="E898" s="50"/>
      <c r="H898" s="51"/>
      <c r="I898" s="52"/>
      <c r="K898" s="53"/>
      <c r="L898" s="32"/>
      <c r="O898" s="11"/>
      <c r="Z898" s="11"/>
    </row>
    <row r="899">
      <c r="B899" s="48"/>
      <c r="D899" s="49"/>
      <c r="E899" s="50"/>
      <c r="H899" s="51"/>
      <c r="I899" s="52"/>
      <c r="K899" s="53"/>
      <c r="L899" s="32"/>
      <c r="O899" s="11"/>
      <c r="Z899" s="11"/>
    </row>
    <row r="900">
      <c r="B900" s="48"/>
      <c r="D900" s="49"/>
      <c r="E900" s="50"/>
      <c r="H900" s="51"/>
      <c r="I900" s="52"/>
      <c r="K900" s="53"/>
      <c r="L900" s="32"/>
      <c r="O900" s="11"/>
      <c r="Z900" s="11"/>
    </row>
    <row r="901">
      <c r="B901" s="48"/>
      <c r="D901" s="49"/>
      <c r="E901" s="50"/>
      <c r="H901" s="51"/>
      <c r="I901" s="52"/>
      <c r="K901" s="53"/>
      <c r="L901" s="32"/>
      <c r="O901" s="11"/>
      <c r="Z901" s="11"/>
    </row>
    <row r="902">
      <c r="B902" s="48"/>
      <c r="D902" s="49"/>
      <c r="E902" s="50"/>
      <c r="H902" s="51"/>
      <c r="I902" s="52"/>
      <c r="K902" s="53"/>
      <c r="L902" s="32"/>
      <c r="O902" s="11"/>
      <c r="Z902" s="11"/>
    </row>
    <row r="903">
      <c r="B903" s="48"/>
      <c r="D903" s="49"/>
      <c r="E903" s="50"/>
      <c r="H903" s="51"/>
      <c r="I903" s="52"/>
      <c r="K903" s="53"/>
      <c r="L903" s="32"/>
      <c r="O903" s="11"/>
      <c r="Z903" s="11"/>
    </row>
    <row r="904">
      <c r="B904" s="48"/>
      <c r="D904" s="49"/>
      <c r="E904" s="50"/>
      <c r="H904" s="51"/>
      <c r="I904" s="52"/>
      <c r="K904" s="53"/>
      <c r="L904" s="32"/>
      <c r="O904" s="11"/>
      <c r="Z904" s="11"/>
    </row>
    <row r="905">
      <c r="B905" s="48"/>
      <c r="D905" s="49"/>
      <c r="E905" s="50"/>
      <c r="H905" s="51"/>
      <c r="I905" s="52"/>
      <c r="K905" s="53"/>
      <c r="L905" s="32"/>
      <c r="O905" s="11"/>
      <c r="Z905" s="11"/>
    </row>
    <row r="906">
      <c r="B906" s="48"/>
      <c r="D906" s="49"/>
      <c r="E906" s="50"/>
      <c r="H906" s="51"/>
      <c r="I906" s="52"/>
      <c r="K906" s="53"/>
      <c r="L906" s="32"/>
      <c r="O906" s="11"/>
      <c r="Z906" s="11"/>
    </row>
    <row r="907">
      <c r="B907" s="48"/>
      <c r="D907" s="49"/>
      <c r="E907" s="50"/>
      <c r="H907" s="51"/>
      <c r="I907" s="52"/>
      <c r="K907" s="53"/>
      <c r="L907" s="32"/>
      <c r="O907" s="11"/>
      <c r="Z907" s="11"/>
    </row>
    <row r="908">
      <c r="B908" s="48"/>
      <c r="D908" s="49"/>
      <c r="E908" s="50"/>
      <c r="H908" s="51"/>
      <c r="I908" s="52"/>
      <c r="K908" s="53"/>
      <c r="L908" s="32"/>
      <c r="O908" s="11"/>
      <c r="Z908" s="11"/>
    </row>
    <row r="909">
      <c r="B909" s="48"/>
      <c r="D909" s="49"/>
      <c r="E909" s="50"/>
      <c r="H909" s="51"/>
      <c r="I909" s="52"/>
      <c r="K909" s="53"/>
      <c r="L909" s="32"/>
      <c r="O909" s="11"/>
      <c r="Z909" s="11"/>
    </row>
    <row r="910">
      <c r="B910" s="48"/>
      <c r="D910" s="49"/>
      <c r="E910" s="50"/>
      <c r="H910" s="51"/>
      <c r="I910" s="52"/>
      <c r="K910" s="53"/>
      <c r="L910" s="32"/>
      <c r="O910" s="11"/>
      <c r="Z910" s="11"/>
    </row>
    <row r="911">
      <c r="B911" s="48"/>
      <c r="D911" s="49"/>
      <c r="E911" s="50"/>
      <c r="H911" s="51"/>
      <c r="I911" s="52"/>
      <c r="K911" s="53"/>
      <c r="L911" s="32"/>
      <c r="O911" s="11"/>
      <c r="Z911" s="11"/>
    </row>
    <row r="912">
      <c r="B912" s="48"/>
      <c r="D912" s="49"/>
      <c r="E912" s="50"/>
      <c r="H912" s="51"/>
      <c r="I912" s="52"/>
      <c r="K912" s="53"/>
      <c r="L912" s="32"/>
      <c r="O912" s="11"/>
      <c r="Z912" s="11"/>
    </row>
    <row r="913">
      <c r="B913" s="48"/>
      <c r="D913" s="49"/>
      <c r="E913" s="50"/>
      <c r="H913" s="51"/>
      <c r="I913" s="52"/>
      <c r="K913" s="53"/>
      <c r="L913" s="32"/>
      <c r="O913" s="11"/>
      <c r="Z913" s="11"/>
    </row>
    <row r="914">
      <c r="B914" s="48"/>
      <c r="D914" s="49"/>
      <c r="E914" s="50"/>
      <c r="H914" s="51"/>
      <c r="I914" s="52"/>
      <c r="K914" s="53"/>
      <c r="L914" s="32"/>
      <c r="O914" s="11"/>
      <c r="Z914" s="11"/>
    </row>
    <row r="915">
      <c r="B915" s="48"/>
      <c r="D915" s="49"/>
      <c r="E915" s="50"/>
      <c r="H915" s="51"/>
      <c r="I915" s="52"/>
      <c r="K915" s="53"/>
      <c r="L915" s="32"/>
      <c r="O915" s="11"/>
      <c r="Z915" s="11"/>
    </row>
    <row r="916">
      <c r="B916" s="48"/>
      <c r="D916" s="49"/>
      <c r="E916" s="50"/>
      <c r="H916" s="51"/>
      <c r="I916" s="52"/>
      <c r="K916" s="53"/>
      <c r="L916" s="32"/>
      <c r="O916" s="11"/>
      <c r="Z916" s="11"/>
    </row>
    <row r="917">
      <c r="B917" s="48"/>
      <c r="D917" s="49"/>
      <c r="E917" s="50"/>
      <c r="H917" s="51"/>
      <c r="I917" s="52"/>
      <c r="K917" s="53"/>
      <c r="L917" s="32"/>
      <c r="O917" s="11"/>
      <c r="Z917" s="11"/>
    </row>
    <row r="918">
      <c r="B918" s="48"/>
      <c r="D918" s="49"/>
      <c r="E918" s="50"/>
      <c r="H918" s="51"/>
      <c r="I918" s="52"/>
      <c r="K918" s="53"/>
      <c r="L918" s="32"/>
      <c r="O918" s="11"/>
      <c r="Z918" s="11"/>
    </row>
    <row r="919">
      <c r="B919" s="48"/>
      <c r="D919" s="49"/>
      <c r="E919" s="50"/>
      <c r="H919" s="51"/>
      <c r="I919" s="52"/>
      <c r="K919" s="53"/>
      <c r="L919" s="32"/>
      <c r="O919" s="11"/>
      <c r="Z919" s="11"/>
    </row>
    <row r="920">
      <c r="B920" s="48"/>
      <c r="D920" s="49"/>
      <c r="E920" s="50"/>
      <c r="H920" s="51"/>
      <c r="I920" s="52"/>
      <c r="K920" s="53"/>
      <c r="L920" s="32"/>
      <c r="O920" s="11"/>
      <c r="Z920" s="11"/>
    </row>
    <row r="921">
      <c r="B921" s="48"/>
      <c r="D921" s="49"/>
      <c r="E921" s="50"/>
      <c r="H921" s="51"/>
      <c r="I921" s="52"/>
      <c r="K921" s="53"/>
      <c r="L921" s="32"/>
      <c r="O921" s="11"/>
      <c r="Z921" s="11"/>
    </row>
    <row r="922">
      <c r="B922" s="48"/>
      <c r="D922" s="49"/>
      <c r="E922" s="50"/>
      <c r="H922" s="51"/>
      <c r="I922" s="52"/>
      <c r="K922" s="53"/>
      <c r="L922" s="32"/>
      <c r="O922" s="11"/>
      <c r="Z922" s="11"/>
    </row>
    <row r="923">
      <c r="B923" s="48"/>
      <c r="D923" s="49"/>
      <c r="E923" s="50"/>
      <c r="H923" s="51"/>
      <c r="I923" s="52"/>
      <c r="K923" s="53"/>
      <c r="L923" s="32"/>
      <c r="O923" s="11"/>
      <c r="Z923" s="11"/>
    </row>
    <row r="924">
      <c r="B924" s="48"/>
      <c r="D924" s="49"/>
      <c r="E924" s="50"/>
      <c r="H924" s="51"/>
      <c r="I924" s="52"/>
      <c r="K924" s="53"/>
      <c r="L924" s="32"/>
      <c r="O924" s="11"/>
      <c r="Z924" s="11"/>
    </row>
    <row r="925">
      <c r="B925" s="48"/>
      <c r="D925" s="49"/>
      <c r="E925" s="50"/>
      <c r="H925" s="51"/>
      <c r="I925" s="52"/>
      <c r="K925" s="53"/>
      <c r="L925" s="32"/>
      <c r="O925" s="11"/>
      <c r="Z925" s="11"/>
    </row>
    <row r="926">
      <c r="B926" s="48"/>
      <c r="D926" s="49"/>
      <c r="E926" s="50"/>
      <c r="H926" s="51"/>
      <c r="I926" s="52"/>
      <c r="K926" s="53"/>
      <c r="L926" s="32"/>
      <c r="O926" s="11"/>
      <c r="Z926" s="11"/>
    </row>
    <row r="927">
      <c r="B927" s="48"/>
      <c r="D927" s="49"/>
      <c r="E927" s="50"/>
      <c r="H927" s="51"/>
      <c r="I927" s="52"/>
      <c r="K927" s="53"/>
      <c r="L927" s="32"/>
      <c r="O927" s="11"/>
      <c r="Z927" s="11"/>
    </row>
    <row r="928">
      <c r="B928" s="48"/>
      <c r="D928" s="49"/>
      <c r="E928" s="50"/>
      <c r="H928" s="51"/>
      <c r="I928" s="52"/>
      <c r="K928" s="53"/>
      <c r="L928" s="32"/>
      <c r="O928" s="11"/>
      <c r="Z928" s="11"/>
    </row>
    <row r="929">
      <c r="B929" s="48"/>
      <c r="D929" s="49"/>
      <c r="E929" s="50"/>
      <c r="H929" s="51"/>
      <c r="I929" s="52"/>
      <c r="K929" s="53"/>
      <c r="L929" s="32"/>
      <c r="O929" s="11"/>
      <c r="Z929" s="11"/>
    </row>
    <row r="930">
      <c r="B930" s="48"/>
      <c r="D930" s="49"/>
      <c r="E930" s="50"/>
      <c r="H930" s="51"/>
      <c r="I930" s="52"/>
      <c r="K930" s="53"/>
      <c r="L930" s="32"/>
      <c r="O930" s="11"/>
      <c r="Z930" s="11"/>
    </row>
    <row r="931">
      <c r="B931" s="48"/>
      <c r="D931" s="49"/>
      <c r="E931" s="50"/>
      <c r="H931" s="51"/>
      <c r="I931" s="52"/>
      <c r="K931" s="53"/>
      <c r="L931" s="32"/>
      <c r="O931" s="11"/>
      <c r="Z931" s="11"/>
    </row>
    <row r="932">
      <c r="B932" s="48"/>
      <c r="D932" s="49"/>
      <c r="E932" s="50"/>
      <c r="H932" s="51"/>
      <c r="I932" s="52"/>
      <c r="K932" s="53"/>
      <c r="L932" s="32"/>
      <c r="O932" s="11"/>
      <c r="Z932" s="11"/>
    </row>
    <row r="933">
      <c r="B933" s="48"/>
      <c r="D933" s="49"/>
      <c r="E933" s="50"/>
      <c r="H933" s="51"/>
      <c r="I933" s="52"/>
      <c r="K933" s="53"/>
      <c r="L933" s="32"/>
      <c r="O933" s="11"/>
      <c r="Z933" s="11"/>
    </row>
    <row r="934">
      <c r="B934" s="48"/>
      <c r="D934" s="49"/>
      <c r="E934" s="50"/>
      <c r="H934" s="51"/>
      <c r="I934" s="52"/>
      <c r="K934" s="53"/>
      <c r="L934" s="32"/>
      <c r="O934" s="11"/>
      <c r="Z934" s="11"/>
    </row>
    <row r="935">
      <c r="B935" s="48"/>
      <c r="D935" s="49"/>
      <c r="E935" s="50"/>
      <c r="H935" s="51"/>
      <c r="I935" s="52"/>
      <c r="K935" s="53"/>
      <c r="L935" s="32"/>
      <c r="O935" s="11"/>
      <c r="Z935" s="11"/>
    </row>
    <row r="936">
      <c r="B936" s="48"/>
      <c r="D936" s="49"/>
      <c r="E936" s="50"/>
      <c r="H936" s="51"/>
      <c r="I936" s="52"/>
      <c r="K936" s="53"/>
      <c r="L936" s="32"/>
      <c r="O936" s="11"/>
      <c r="Z936" s="11"/>
    </row>
    <row r="937">
      <c r="B937" s="48"/>
      <c r="D937" s="49"/>
      <c r="E937" s="50"/>
      <c r="H937" s="51"/>
      <c r="I937" s="52"/>
      <c r="K937" s="53"/>
      <c r="L937" s="32"/>
      <c r="O937" s="11"/>
      <c r="Z937" s="11"/>
    </row>
    <row r="938">
      <c r="B938" s="48"/>
      <c r="D938" s="49"/>
      <c r="E938" s="50"/>
      <c r="H938" s="51"/>
      <c r="I938" s="52"/>
      <c r="K938" s="53"/>
      <c r="L938" s="32"/>
      <c r="O938" s="11"/>
      <c r="Z938" s="11"/>
    </row>
    <row r="939">
      <c r="B939" s="48"/>
      <c r="D939" s="49"/>
      <c r="E939" s="50"/>
      <c r="H939" s="51"/>
      <c r="I939" s="52"/>
      <c r="K939" s="53"/>
      <c r="L939" s="32"/>
      <c r="O939" s="11"/>
      <c r="Z939" s="11"/>
    </row>
    <row r="940">
      <c r="B940" s="48"/>
      <c r="D940" s="49"/>
      <c r="E940" s="50"/>
      <c r="H940" s="51"/>
      <c r="I940" s="52"/>
      <c r="K940" s="53"/>
      <c r="L940" s="32"/>
      <c r="O940" s="11"/>
      <c r="Z940" s="11"/>
    </row>
    <row r="941">
      <c r="B941" s="48"/>
      <c r="D941" s="49"/>
      <c r="E941" s="50"/>
      <c r="H941" s="51"/>
      <c r="I941" s="52"/>
      <c r="K941" s="53"/>
      <c r="L941" s="32"/>
      <c r="O941" s="11"/>
      <c r="Z941" s="11"/>
    </row>
    <row r="942">
      <c r="B942" s="48"/>
      <c r="D942" s="49"/>
      <c r="E942" s="50"/>
      <c r="H942" s="51"/>
      <c r="I942" s="52"/>
      <c r="K942" s="53"/>
      <c r="L942" s="32"/>
      <c r="O942" s="11"/>
      <c r="Z942" s="11"/>
    </row>
    <row r="943">
      <c r="B943" s="48"/>
      <c r="D943" s="49"/>
      <c r="E943" s="50"/>
      <c r="H943" s="51"/>
      <c r="I943" s="52"/>
      <c r="K943" s="53"/>
      <c r="L943" s="32"/>
      <c r="O943" s="11"/>
      <c r="Z943" s="11"/>
    </row>
    <row r="944">
      <c r="B944" s="48"/>
      <c r="D944" s="49"/>
      <c r="E944" s="50"/>
      <c r="H944" s="51"/>
      <c r="I944" s="52"/>
      <c r="K944" s="53"/>
      <c r="L944" s="32"/>
      <c r="O944" s="11"/>
      <c r="Z944" s="11"/>
    </row>
    <row r="945">
      <c r="B945" s="48"/>
      <c r="D945" s="49"/>
      <c r="E945" s="50"/>
      <c r="H945" s="51"/>
      <c r="I945" s="52"/>
      <c r="K945" s="53"/>
      <c r="L945" s="32"/>
      <c r="O945" s="11"/>
      <c r="Z945" s="11"/>
    </row>
    <row r="946">
      <c r="B946" s="48"/>
      <c r="D946" s="49"/>
      <c r="E946" s="50"/>
      <c r="H946" s="51"/>
      <c r="I946" s="52"/>
      <c r="K946" s="53"/>
      <c r="L946" s="32"/>
      <c r="O946" s="11"/>
      <c r="Z946" s="11"/>
    </row>
    <row r="947">
      <c r="B947" s="48"/>
      <c r="D947" s="49"/>
      <c r="E947" s="50"/>
      <c r="H947" s="51"/>
      <c r="I947" s="52"/>
      <c r="K947" s="53"/>
      <c r="L947" s="32"/>
      <c r="O947" s="11"/>
      <c r="Z947" s="11"/>
    </row>
    <row r="948">
      <c r="B948" s="48"/>
      <c r="D948" s="49"/>
      <c r="E948" s="50"/>
      <c r="H948" s="51"/>
      <c r="I948" s="52"/>
      <c r="K948" s="53"/>
      <c r="L948" s="32"/>
      <c r="O948" s="11"/>
      <c r="Z948" s="11"/>
    </row>
    <row r="949">
      <c r="B949" s="48"/>
      <c r="D949" s="49"/>
      <c r="E949" s="50"/>
      <c r="H949" s="51"/>
      <c r="I949" s="52"/>
      <c r="K949" s="53"/>
      <c r="L949" s="32"/>
      <c r="O949" s="11"/>
      <c r="Z949" s="11"/>
    </row>
    <row r="950">
      <c r="B950" s="48"/>
      <c r="D950" s="49"/>
      <c r="E950" s="50"/>
      <c r="H950" s="51"/>
      <c r="I950" s="52"/>
      <c r="K950" s="53"/>
      <c r="L950" s="32"/>
      <c r="O950" s="11"/>
      <c r="Z950" s="11"/>
    </row>
    <row r="951">
      <c r="B951" s="48"/>
      <c r="D951" s="49"/>
      <c r="E951" s="50"/>
      <c r="H951" s="51"/>
      <c r="I951" s="52"/>
      <c r="K951" s="53"/>
      <c r="L951" s="32"/>
      <c r="O951" s="11"/>
      <c r="Z951" s="11"/>
    </row>
    <row r="952">
      <c r="B952" s="48"/>
      <c r="D952" s="49"/>
      <c r="E952" s="50"/>
      <c r="H952" s="51"/>
      <c r="I952" s="52"/>
      <c r="K952" s="53"/>
      <c r="L952" s="32"/>
      <c r="O952" s="11"/>
      <c r="Z952" s="11"/>
    </row>
    <row r="953">
      <c r="B953" s="48"/>
      <c r="D953" s="49"/>
      <c r="E953" s="50"/>
      <c r="H953" s="51"/>
      <c r="I953" s="52"/>
      <c r="K953" s="53"/>
      <c r="L953" s="32"/>
      <c r="O953" s="11"/>
      <c r="Z953" s="11"/>
    </row>
    <row r="954">
      <c r="B954" s="48"/>
      <c r="D954" s="49"/>
      <c r="E954" s="50"/>
      <c r="H954" s="51"/>
      <c r="I954" s="52"/>
      <c r="K954" s="53"/>
      <c r="L954" s="32"/>
      <c r="O954" s="11"/>
      <c r="Z954" s="11"/>
    </row>
    <row r="955">
      <c r="B955" s="48"/>
      <c r="D955" s="49"/>
      <c r="E955" s="50"/>
      <c r="H955" s="51"/>
      <c r="I955" s="52"/>
      <c r="K955" s="53"/>
      <c r="L955" s="32"/>
      <c r="O955" s="11"/>
      <c r="Z955" s="11"/>
    </row>
    <row r="956">
      <c r="B956" s="48"/>
      <c r="D956" s="49"/>
      <c r="E956" s="50"/>
      <c r="H956" s="51"/>
      <c r="I956" s="52"/>
      <c r="K956" s="53"/>
      <c r="L956" s="32"/>
      <c r="O956" s="11"/>
      <c r="Z956" s="11"/>
    </row>
    <row r="957">
      <c r="B957" s="48"/>
      <c r="D957" s="49"/>
      <c r="E957" s="50"/>
      <c r="H957" s="51"/>
      <c r="I957" s="52"/>
      <c r="K957" s="53"/>
      <c r="L957" s="32"/>
      <c r="O957" s="11"/>
      <c r="Z957" s="11"/>
    </row>
    <row r="958">
      <c r="B958" s="48"/>
      <c r="D958" s="49"/>
      <c r="E958" s="50"/>
      <c r="H958" s="51"/>
      <c r="I958" s="52"/>
      <c r="K958" s="53"/>
      <c r="L958" s="32"/>
      <c r="O958" s="11"/>
      <c r="Z958" s="11"/>
    </row>
    <row r="959">
      <c r="B959" s="48"/>
      <c r="D959" s="49"/>
      <c r="E959" s="50"/>
      <c r="H959" s="51"/>
      <c r="I959" s="52"/>
      <c r="K959" s="53"/>
      <c r="L959" s="32"/>
      <c r="O959" s="11"/>
      <c r="Z959" s="11"/>
    </row>
    <row r="960">
      <c r="B960" s="48"/>
      <c r="D960" s="49"/>
      <c r="E960" s="50"/>
      <c r="H960" s="51"/>
      <c r="I960" s="52"/>
      <c r="K960" s="53"/>
      <c r="L960" s="32"/>
      <c r="O960" s="11"/>
      <c r="Z960" s="11"/>
    </row>
    <row r="961">
      <c r="B961" s="48"/>
      <c r="D961" s="49"/>
      <c r="E961" s="50"/>
      <c r="H961" s="51"/>
      <c r="I961" s="52"/>
      <c r="K961" s="53"/>
      <c r="L961" s="32"/>
      <c r="O961" s="11"/>
      <c r="Z961" s="11"/>
    </row>
    <row r="962">
      <c r="B962" s="48"/>
      <c r="D962" s="49"/>
      <c r="E962" s="50"/>
      <c r="H962" s="51"/>
      <c r="I962" s="52"/>
      <c r="K962" s="53"/>
      <c r="L962" s="32"/>
      <c r="O962" s="11"/>
      <c r="Z962" s="11"/>
    </row>
    <row r="963">
      <c r="B963" s="48"/>
      <c r="D963" s="49"/>
      <c r="E963" s="50"/>
      <c r="H963" s="51"/>
      <c r="I963" s="52"/>
      <c r="K963" s="53"/>
      <c r="L963" s="32"/>
      <c r="O963" s="11"/>
      <c r="Z963" s="11"/>
    </row>
    <row r="964">
      <c r="B964" s="48"/>
      <c r="D964" s="49"/>
      <c r="E964" s="50"/>
      <c r="H964" s="51"/>
      <c r="I964" s="52"/>
      <c r="K964" s="53"/>
      <c r="L964" s="32"/>
      <c r="O964" s="11"/>
      <c r="Z964" s="11"/>
    </row>
    <row r="965">
      <c r="B965" s="48"/>
      <c r="D965" s="49"/>
      <c r="E965" s="50"/>
      <c r="H965" s="51"/>
      <c r="I965" s="52"/>
      <c r="K965" s="53"/>
      <c r="L965" s="32"/>
      <c r="O965" s="11"/>
      <c r="Z965" s="11"/>
    </row>
    <row r="966">
      <c r="B966" s="48"/>
      <c r="D966" s="49"/>
      <c r="E966" s="50"/>
      <c r="H966" s="51"/>
      <c r="I966" s="52"/>
      <c r="K966" s="53"/>
      <c r="L966" s="32"/>
      <c r="O966" s="11"/>
      <c r="Z966" s="11"/>
    </row>
    <row r="967">
      <c r="B967" s="48"/>
      <c r="D967" s="49"/>
      <c r="E967" s="50"/>
      <c r="H967" s="51"/>
      <c r="I967" s="52"/>
      <c r="K967" s="53"/>
      <c r="L967" s="32"/>
      <c r="O967" s="11"/>
      <c r="Z967" s="11"/>
    </row>
    <row r="968">
      <c r="B968" s="48"/>
      <c r="D968" s="49"/>
      <c r="E968" s="50"/>
      <c r="H968" s="51"/>
      <c r="I968" s="52"/>
      <c r="K968" s="53"/>
      <c r="L968" s="32"/>
      <c r="O968" s="11"/>
      <c r="Z968" s="11"/>
    </row>
    <row r="969">
      <c r="B969" s="48"/>
      <c r="D969" s="49"/>
      <c r="E969" s="50"/>
      <c r="H969" s="51"/>
      <c r="I969" s="52"/>
      <c r="K969" s="53"/>
      <c r="L969" s="32"/>
      <c r="O969" s="11"/>
      <c r="Z969" s="11"/>
    </row>
    <row r="970">
      <c r="B970" s="48"/>
      <c r="D970" s="49"/>
      <c r="E970" s="50"/>
      <c r="H970" s="51"/>
      <c r="I970" s="52"/>
      <c r="K970" s="53"/>
      <c r="L970" s="32"/>
      <c r="O970" s="11"/>
      <c r="Z970" s="11"/>
    </row>
    <row r="971">
      <c r="B971" s="48"/>
      <c r="D971" s="49"/>
      <c r="E971" s="50"/>
      <c r="H971" s="51"/>
      <c r="I971" s="52"/>
      <c r="K971" s="53"/>
      <c r="L971" s="32"/>
      <c r="O971" s="11"/>
      <c r="Z971" s="11"/>
    </row>
    <row r="972">
      <c r="B972" s="48"/>
      <c r="D972" s="49"/>
      <c r="E972" s="50"/>
      <c r="H972" s="51"/>
      <c r="I972" s="52"/>
      <c r="K972" s="53"/>
      <c r="L972" s="32"/>
      <c r="O972" s="11"/>
      <c r="Z972" s="11"/>
    </row>
    <row r="973">
      <c r="B973" s="48"/>
      <c r="D973" s="49"/>
      <c r="E973" s="50"/>
      <c r="H973" s="51"/>
      <c r="I973" s="52"/>
      <c r="K973" s="53"/>
      <c r="L973" s="32"/>
      <c r="O973" s="11"/>
      <c r="Z973" s="11"/>
    </row>
    <row r="974">
      <c r="B974" s="48"/>
      <c r="D974" s="49"/>
      <c r="E974" s="50"/>
      <c r="H974" s="51"/>
      <c r="I974" s="52"/>
      <c r="K974" s="53"/>
      <c r="L974" s="32"/>
      <c r="O974" s="11"/>
      <c r="Z974" s="11"/>
    </row>
    <row r="975">
      <c r="B975" s="48"/>
      <c r="D975" s="49"/>
      <c r="E975" s="50"/>
      <c r="H975" s="51"/>
      <c r="I975" s="52"/>
      <c r="K975" s="53"/>
      <c r="L975" s="32"/>
      <c r="O975" s="11"/>
      <c r="Z975" s="11"/>
    </row>
    <row r="976">
      <c r="B976" s="48"/>
      <c r="D976" s="49"/>
      <c r="E976" s="50"/>
      <c r="H976" s="51"/>
      <c r="I976" s="52"/>
      <c r="K976" s="53"/>
      <c r="L976" s="32"/>
      <c r="O976" s="11"/>
      <c r="Z976" s="11"/>
    </row>
    <row r="977">
      <c r="B977" s="48"/>
      <c r="D977" s="49"/>
      <c r="E977" s="50"/>
      <c r="H977" s="51"/>
      <c r="I977" s="52"/>
      <c r="K977" s="53"/>
      <c r="L977" s="32"/>
      <c r="O977" s="11"/>
      <c r="Z977" s="11"/>
    </row>
    <row r="978">
      <c r="B978" s="48"/>
      <c r="D978" s="49"/>
      <c r="E978" s="50"/>
      <c r="H978" s="51"/>
      <c r="I978" s="52"/>
      <c r="K978" s="53"/>
      <c r="L978" s="32"/>
      <c r="O978" s="11"/>
      <c r="Z978" s="11"/>
    </row>
    <row r="979">
      <c r="B979" s="48"/>
      <c r="D979" s="49"/>
      <c r="E979" s="50"/>
      <c r="H979" s="51"/>
      <c r="I979" s="52"/>
      <c r="K979" s="53"/>
      <c r="L979" s="32"/>
      <c r="O979" s="11"/>
      <c r="Z979" s="11"/>
    </row>
    <row r="980">
      <c r="B980" s="48"/>
      <c r="D980" s="49"/>
      <c r="E980" s="50"/>
      <c r="H980" s="51"/>
      <c r="I980" s="52"/>
      <c r="K980" s="53"/>
      <c r="L980" s="32"/>
      <c r="O980" s="11"/>
      <c r="Z980" s="11"/>
    </row>
    <row r="981">
      <c r="B981" s="48"/>
      <c r="D981" s="49"/>
      <c r="E981" s="50"/>
      <c r="H981" s="51"/>
      <c r="I981" s="52"/>
      <c r="K981" s="53"/>
      <c r="L981" s="32"/>
      <c r="O981" s="11"/>
      <c r="Z981" s="11"/>
    </row>
    <row r="982">
      <c r="B982" s="48"/>
      <c r="D982" s="49"/>
      <c r="E982" s="50"/>
      <c r="H982" s="51"/>
      <c r="I982" s="52"/>
      <c r="K982" s="53"/>
      <c r="L982" s="32"/>
      <c r="O982" s="11"/>
      <c r="Z982" s="11"/>
    </row>
    <row r="983">
      <c r="B983" s="48"/>
      <c r="D983" s="49"/>
      <c r="E983" s="50"/>
      <c r="H983" s="51"/>
      <c r="I983" s="52"/>
      <c r="K983" s="53"/>
      <c r="L983" s="32"/>
      <c r="O983" s="11"/>
      <c r="Z983" s="11"/>
    </row>
    <row r="984">
      <c r="B984" s="48"/>
      <c r="D984" s="49"/>
      <c r="E984" s="50"/>
      <c r="H984" s="51"/>
      <c r="I984" s="52"/>
      <c r="K984" s="53"/>
      <c r="L984" s="32"/>
      <c r="O984" s="11"/>
      <c r="Z984" s="11"/>
    </row>
    <row r="985">
      <c r="B985" s="48"/>
      <c r="D985" s="49"/>
      <c r="E985" s="50"/>
      <c r="H985" s="51"/>
      <c r="I985" s="52"/>
      <c r="K985" s="53"/>
      <c r="L985" s="32"/>
      <c r="O985" s="11"/>
      <c r="Z985" s="11"/>
    </row>
    <row r="986">
      <c r="B986" s="48"/>
      <c r="D986" s="49"/>
      <c r="E986" s="50"/>
      <c r="H986" s="51"/>
      <c r="I986" s="52"/>
      <c r="K986" s="53"/>
      <c r="L986" s="32"/>
      <c r="O986" s="11"/>
      <c r="Z986" s="11"/>
    </row>
    <row r="987">
      <c r="B987" s="48"/>
      <c r="D987" s="49"/>
      <c r="E987" s="50"/>
      <c r="H987" s="51"/>
      <c r="I987" s="52"/>
      <c r="K987" s="53"/>
      <c r="L987" s="32"/>
      <c r="O987" s="11"/>
      <c r="Z987" s="11"/>
    </row>
    <row r="988">
      <c r="B988" s="48"/>
      <c r="D988" s="49"/>
      <c r="E988" s="50"/>
      <c r="H988" s="51"/>
      <c r="I988" s="52"/>
      <c r="K988" s="53"/>
      <c r="L988" s="32"/>
      <c r="O988" s="11"/>
      <c r="Z988" s="11"/>
    </row>
    <row r="989">
      <c r="B989" s="48"/>
      <c r="D989" s="49"/>
      <c r="E989" s="50"/>
      <c r="H989" s="51"/>
      <c r="I989" s="52"/>
      <c r="K989" s="53"/>
      <c r="L989" s="32"/>
      <c r="O989" s="11"/>
      <c r="Z989" s="11"/>
    </row>
    <row r="990">
      <c r="B990" s="48"/>
      <c r="D990" s="49"/>
      <c r="E990" s="50"/>
      <c r="H990" s="51"/>
      <c r="I990" s="52"/>
      <c r="K990" s="53"/>
      <c r="L990" s="32"/>
      <c r="O990" s="11"/>
      <c r="Z990" s="11"/>
    </row>
    <row r="991">
      <c r="B991" s="48"/>
      <c r="D991" s="49"/>
      <c r="E991" s="50"/>
      <c r="H991" s="51"/>
      <c r="I991" s="52"/>
      <c r="K991" s="53"/>
      <c r="L991" s="32"/>
      <c r="O991" s="11"/>
      <c r="Z991" s="11"/>
    </row>
    <row r="992">
      <c r="B992" s="48"/>
      <c r="D992" s="49"/>
      <c r="E992" s="50"/>
      <c r="H992" s="51"/>
      <c r="I992" s="52"/>
      <c r="K992" s="53"/>
      <c r="L992" s="32"/>
      <c r="O992" s="11"/>
      <c r="Z992" s="11"/>
    </row>
    <row r="993">
      <c r="B993" s="48"/>
      <c r="D993" s="49"/>
      <c r="E993" s="50"/>
      <c r="H993" s="51"/>
      <c r="I993" s="52"/>
      <c r="K993" s="53"/>
      <c r="L993" s="32"/>
      <c r="O993" s="11"/>
      <c r="Z993" s="11"/>
    </row>
    <row r="994">
      <c r="B994" s="48"/>
      <c r="D994" s="49"/>
      <c r="E994" s="50"/>
      <c r="H994" s="51"/>
      <c r="I994" s="52"/>
      <c r="K994" s="53"/>
      <c r="L994" s="32"/>
      <c r="O994" s="11"/>
      <c r="Z994" s="11"/>
    </row>
    <row r="995">
      <c r="B995" s="48"/>
      <c r="D995" s="49"/>
      <c r="E995" s="50"/>
      <c r="H995" s="51"/>
      <c r="I995" s="52"/>
      <c r="K995" s="53"/>
      <c r="L995" s="32"/>
      <c r="O995" s="11"/>
      <c r="Z995" s="11"/>
    </row>
    <row r="996">
      <c r="B996" s="48"/>
      <c r="D996" s="49"/>
      <c r="E996" s="50"/>
      <c r="H996" s="51"/>
      <c r="I996" s="52"/>
      <c r="K996" s="53"/>
      <c r="L996" s="32"/>
      <c r="O996" s="11"/>
      <c r="Z996" s="11"/>
    </row>
    <row r="997">
      <c r="B997" s="48"/>
      <c r="D997" s="49"/>
      <c r="E997" s="50"/>
      <c r="H997" s="51"/>
      <c r="I997" s="52"/>
      <c r="K997" s="53"/>
      <c r="L997" s="32"/>
      <c r="O997" s="11"/>
      <c r="Z997" s="11"/>
    </row>
    <row r="998">
      <c r="B998" s="48"/>
      <c r="D998" s="49"/>
      <c r="E998" s="50"/>
      <c r="H998" s="51"/>
      <c r="I998" s="52"/>
      <c r="K998" s="53"/>
      <c r="L998" s="32"/>
      <c r="O998" s="11"/>
      <c r="Z998" s="11"/>
    </row>
    <row r="999">
      <c r="B999" s="48"/>
      <c r="D999" s="49"/>
      <c r="E999" s="50"/>
      <c r="H999" s="51"/>
      <c r="I999" s="52"/>
      <c r="K999" s="53"/>
      <c r="L999" s="32"/>
      <c r="O999" s="11"/>
      <c r="Z999" s="11"/>
    </row>
    <row r="1000">
      <c r="B1000" s="48"/>
      <c r="D1000" s="49"/>
      <c r="E1000" s="50"/>
      <c r="H1000" s="51"/>
      <c r="I1000" s="52"/>
      <c r="K1000" s="53"/>
      <c r="L1000" s="32"/>
      <c r="O1000" s="11"/>
      <c r="Z1000" s="11"/>
    </row>
  </sheetData>
  <hyperlinks>
    <hyperlink r:id="rId2" ref="O1"/>
  </hyperlinks>
  <drawing r:id="rId3"/>
  <legacyDrawing r:id="rId4"/>
  <tableParts count="1">
    <tablePart r:id="rId6"/>
  </tableParts>
</worksheet>
</file>