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j\Documents\GitHub\ua-imec2001-hc-202220-s1\content\week7\"/>
    </mc:Choice>
  </mc:AlternateContent>
  <xr:revisionPtr revIDLastSave="0" documentId="13_ncr:1_{84A911F8-4BAE-487B-91C3-5189F171C16B}" xr6:coauthVersionLast="47" xr6:coauthVersionMax="47" xr10:uidLastSave="{00000000-0000-0000-0000-000000000000}"/>
  <bookViews>
    <workbookView xWindow="3864" yWindow="3864" windowWidth="11520" windowHeight="7872" xr2:uid="{CE7C9FE1-E0F1-40CF-84DB-F373B56127D8}"/>
  </bookViews>
  <sheets>
    <sheet name="Hoja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X23" i="2" l="1"/>
  <c r="X24" i="2"/>
  <c r="X22" i="2"/>
  <c r="Q30" i="2"/>
  <c r="Q31" i="2"/>
  <c r="Q29" i="2"/>
  <c r="Q16" i="2"/>
  <c r="Q15" i="2"/>
  <c r="P29" i="2"/>
  <c r="P30" i="2"/>
  <c r="P31" i="2"/>
  <c r="P15" i="2"/>
  <c r="P17" i="2"/>
  <c r="S22" i="2"/>
  <c r="G31" i="2"/>
  <c r="Y22" i="2" l="1"/>
  <c r="R23" i="2"/>
  <c r="B43" i="2" l="1"/>
  <c r="B13" i="2" l="1"/>
  <c r="C13" i="2"/>
  <c r="D13" i="2"/>
  <c r="B14" i="2"/>
  <c r="C14" i="2"/>
  <c r="D14" i="2"/>
  <c r="B15" i="2"/>
  <c r="C15" i="2"/>
  <c r="D15" i="2"/>
  <c r="B16" i="2"/>
  <c r="C16" i="2"/>
  <c r="D16" i="2"/>
  <c r="C12" i="2"/>
  <c r="D12" i="2"/>
  <c r="B12" i="2"/>
  <c r="C44" i="2" l="1"/>
  <c r="Q23" i="2" s="1"/>
  <c r="S23" i="2" s="1"/>
  <c r="Y23" i="2" s="1"/>
  <c r="S24" i="2"/>
  <c r="S25" i="2"/>
  <c r="S26" i="2"/>
  <c r="R24" i="2"/>
  <c r="R25" i="2"/>
  <c r="R26" i="2"/>
  <c r="R22" i="2"/>
  <c r="Q26" i="2"/>
  <c r="Q24" i="2"/>
  <c r="Q25" i="2"/>
  <c r="P23" i="2"/>
  <c r="P24" i="2"/>
  <c r="P25" i="2"/>
  <c r="P26" i="2"/>
  <c r="P22" i="2"/>
  <c r="Q17" i="2"/>
  <c r="P16" i="2"/>
  <c r="Q10" i="2"/>
  <c r="P10" i="2"/>
  <c r="J13" i="2"/>
  <c r="J14" i="2"/>
  <c r="J15" i="2"/>
  <c r="J16" i="2"/>
  <c r="J12" i="2"/>
  <c r="D44" i="2"/>
  <c r="D45" i="2"/>
  <c r="D46" i="2"/>
  <c r="D47" i="2"/>
  <c r="F33" i="2"/>
  <c r="G34" i="2"/>
  <c r="E3" i="2"/>
  <c r="F32" i="2"/>
  <c r="B44" i="2" s="1"/>
  <c r="B45" i="2"/>
  <c r="F34" i="2"/>
  <c r="B46" i="2" s="1"/>
  <c r="F35" i="2"/>
  <c r="B47" i="2" s="1"/>
  <c r="F31" i="2"/>
  <c r="D32" i="2"/>
  <c r="E32" i="2"/>
  <c r="D33" i="2"/>
  <c r="E33" i="2"/>
  <c r="D34" i="2"/>
  <c r="E34" i="2"/>
  <c r="D35" i="2"/>
  <c r="E35" i="2"/>
  <c r="E31" i="2"/>
  <c r="D31" i="2"/>
  <c r="H21" i="2"/>
  <c r="H22" i="2"/>
  <c r="H23" i="2"/>
  <c r="H24" i="2"/>
  <c r="H20" i="2"/>
  <c r="B26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2" i="2"/>
  <c r="H12" i="2" s="1"/>
  <c r="I12" i="2" s="1"/>
  <c r="K12" i="2" s="1"/>
  <c r="F12" i="2"/>
  <c r="E12" i="2"/>
  <c r="F14" i="2"/>
  <c r="F16" i="2"/>
  <c r="F15" i="2"/>
  <c r="E15" i="2"/>
  <c r="G15" i="2"/>
  <c r="H15" i="2" s="1"/>
  <c r="I15" i="2" s="1"/>
  <c r="K15" i="2" s="1"/>
  <c r="L15" i="2" s="1"/>
  <c r="G13" i="2"/>
  <c r="H13" i="2" s="1"/>
  <c r="I13" i="2" s="1"/>
  <c r="Y24" i="2" l="1"/>
  <c r="G35" i="2"/>
  <c r="C47" i="2" s="1"/>
  <c r="G33" i="2"/>
  <c r="I20" i="2"/>
  <c r="J20" i="2" s="1"/>
  <c r="G32" i="2"/>
  <c r="I23" i="2"/>
  <c r="J23" i="2" s="1"/>
  <c r="I22" i="2"/>
  <c r="J22" i="2" s="1"/>
  <c r="I21" i="2"/>
  <c r="J21" i="2" s="1"/>
  <c r="J24" i="2"/>
  <c r="L12" i="2"/>
  <c r="G14" i="2"/>
  <c r="H14" i="2" s="1"/>
  <c r="I14" i="2" s="1"/>
  <c r="K14" i="2" s="1"/>
  <c r="L14" i="2" s="1"/>
  <c r="G16" i="2"/>
  <c r="H16" i="2" s="1"/>
  <c r="I16" i="2" s="1"/>
  <c r="K16" i="2" s="1"/>
  <c r="L16" i="2" s="1"/>
  <c r="F13" i="2"/>
  <c r="K13" i="2" s="1"/>
  <c r="L13" i="2" s="1"/>
  <c r="E16" i="2"/>
  <c r="E13" i="2"/>
  <c r="E14" i="2"/>
  <c r="C43" i="2" l="1"/>
  <c r="C46" i="2"/>
  <c r="C45" i="2"/>
  <c r="Q22" i="2" l="1"/>
  <c r="D43" i="2"/>
</calcChain>
</file>

<file path=xl/sharedStrings.xml><?xml version="1.0" encoding="utf-8"?>
<sst xmlns="http://schemas.openxmlformats.org/spreadsheetml/2006/main" count="84" uniqueCount="58">
  <si>
    <t>Punto de operación</t>
  </si>
  <si>
    <t>Potencia mecánica</t>
  </si>
  <si>
    <t>I. sesgo</t>
  </si>
  <si>
    <t>I. Aleatoria</t>
  </si>
  <si>
    <t>I. Total</t>
  </si>
  <si>
    <t>Promedio</t>
  </si>
  <si>
    <t>Desviación E.</t>
  </si>
  <si>
    <t>Número de datos</t>
  </si>
  <si>
    <t>GDL</t>
  </si>
  <si>
    <t>t</t>
  </si>
  <si>
    <t>F1</t>
  </si>
  <si>
    <t>F2</t>
  </si>
  <si>
    <t>Fuerzas [N]</t>
  </si>
  <si>
    <t>In. Sesgo F1</t>
  </si>
  <si>
    <t>In. Sesgo F2</t>
  </si>
  <si>
    <t>I. Sesgo</t>
  </si>
  <si>
    <t>Total</t>
  </si>
  <si>
    <t>Radio del freno [m]</t>
  </si>
  <si>
    <t>Torque</t>
  </si>
  <si>
    <t>Velocidad Angular [rad/s]</t>
  </si>
  <si>
    <t>alfa</t>
  </si>
  <si>
    <t>Confianza</t>
  </si>
  <si>
    <t>Resolución</t>
  </si>
  <si>
    <t>N</t>
  </si>
  <si>
    <t>rad/s</t>
  </si>
  <si>
    <t>Radio</t>
  </si>
  <si>
    <t>m</t>
  </si>
  <si>
    <t>Sesgo</t>
  </si>
  <si>
    <t>Aleatoria</t>
  </si>
  <si>
    <t>Método # 1</t>
  </si>
  <si>
    <t>Método #2</t>
  </si>
  <si>
    <t xml:space="preserve">Tiempo </t>
  </si>
  <si>
    <t>Punto de Operación</t>
  </si>
  <si>
    <t>Tiempo [s]</t>
  </si>
  <si>
    <t>Datos adicionales</t>
  </si>
  <si>
    <t>Densidad</t>
  </si>
  <si>
    <t>Gravedad</t>
  </si>
  <si>
    <t>Altura manométrica</t>
  </si>
  <si>
    <t>Caudal</t>
  </si>
  <si>
    <t>Volumen</t>
  </si>
  <si>
    <t>Errores</t>
  </si>
  <si>
    <t>-</t>
  </si>
  <si>
    <t>Unidad</t>
  </si>
  <si>
    <t>m3/s</t>
  </si>
  <si>
    <t>m3</t>
  </si>
  <si>
    <t>kg/m3</t>
  </si>
  <si>
    <t>m/s2</t>
  </si>
  <si>
    <t>Valor</t>
  </si>
  <si>
    <t>s</t>
  </si>
  <si>
    <t>Error</t>
  </si>
  <si>
    <t xml:space="preserve">Punto de Operación </t>
  </si>
  <si>
    <t xml:space="preserve">Aleatoria </t>
  </si>
  <si>
    <t>Potencia hidrúlica</t>
  </si>
  <si>
    <t>Eficiencia</t>
  </si>
  <si>
    <r>
      <t>Solo hay una medición por cada fuerza y del radio solo se da el valor, por lo que no se tiene una incertidumbre aleatoria para</t>
    </r>
    <r>
      <rPr>
        <b/>
        <sz val="11"/>
        <color theme="1"/>
        <rFont val="DengXian"/>
        <charset val="134"/>
      </rPr>
      <t xml:space="preserve"> este </t>
    </r>
    <r>
      <rPr>
        <sz val="11"/>
        <color theme="1"/>
        <rFont val="DengXian"/>
        <charset val="134"/>
      </rPr>
      <t>caso</t>
    </r>
  </si>
  <si>
    <t>I. Sesgo Total Resta</t>
  </si>
  <si>
    <t>1</t>
  </si>
  <si>
    <t>Para los 3 puntos de operación que es donde se define el caudal se encuentra la 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</si>
</sst>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DengXian"/>
      <charset val="134"/>
    </font>
    <font>
      <sz val="11"/>
      <color theme="1"/>
      <name val="DengXian"/>
      <charset val="134"/>
    </font>
    <font>
      <b/>
      <sz val="11"/>
      <color theme="0"/>
      <name val="DengXia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Eficiencia vs Velocida Angular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DengXian" panose="02010600030101010101" pitchFamily="2" charset="-122"/>
              <a:ea typeface="DengXian" panose="02010600030101010101" pitchFamily="2" charset="-122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'Hoja 1'!$L$12:$L$16</c:f>
                <c:numCache>
                  <c:formatCode>General</c:formatCode>
                  <c:ptCount val="5"/>
                  <c:pt idx="0">
                    <c:v>2.4817159866922807</c:v>
                  </c:pt>
                  <c:pt idx="1">
                    <c:v>0.44473141723492637</c:v>
                  </c:pt>
                  <c:pt idx="2">
                    <c:v>4.5465497070420255</c:v>
                  </c:pt>
                  <c:pt idx="3">
                    <c:v>0.68551039015775728</c:v>
                  </c:pt>
                  <c:pt idx="4">
                    <c:v>1.0500000000000001E-2</c:v>
                  </c:pt>
                </c:numCache>
              </c:numRef>
            </c:plus>
            <c:minus>
              <c:numRef>
                <c:f>'Hoja 1'!$L$12:$L$16</c:f>
                <c:numCache>
                  <c:formatCode>General</c:formatCode>
                  <c:ptCount val="5"/>
                  <c:pt idx="0">
                    <c:v>2.4817159866922807</c:v>
                  </c:pt>
                  <c:pt idx="1">
                    <c:v>0.44473141723492637</c:v>
                  </c:pt>
                  <c:pt idx="2">
                    <c:v>4.5465497070420255</c:v>
                  </c:pt>
                  <c:pt idx="3">
                    <c:v>0.68551039015775728</c:v>
                  </c:pt>
                  <c:pt idx="4">
                    <c:v>1.0500000000000001E-2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'Hoja 1'!$Y$22:$Y$26</c:f>
                <c:numCache>
                  <c:formatCode>General</c:formatCode>
                  <c:ptCount val="5"/>
                  <c:pt idx="0">
                    <c:v>0.12035358760003001</c:v>
                  </c:pt>
                  <c:pt idx="1">
                    <c:v>0.10836357892270258</c:v>
                  </c:pt>
                  <c:pt idx="2">
                    <c:v>8.2521579536940975E-2</c:v>
                  </c:pt>
                </c:numCache>
              </c:numRef>
            </c:plus>
            <c:minus>
              <c:numRef>
                <c:f>'Hoja 1'!$Y$22:$Y$26</c:f>
                <c:numCache>
                  <c:formatCode>General</c:formatCode>
                  <c:ptCount val="5"/>
                  <c:pt idx="0">
                    <c:v>0.12035358760003001</c:v>
                  </c:pt>
                  <c:pt idx="1">
                    <c:v>0.10836357892270258</c:v>
                  </c:pt>
                  <c:pt idx="2">
                    <c:v>8.2521579536940975E-2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'Hoja 1'!$E$12:$E$16</c:f>
              <c:numCache>
                <c:formatCode>0.000</c:formatCode>
                <c:ptCount val="5"/>
                <c:pt idx="0">
                  <c:v>228.18666666666664</c:v>
                </c:pt>
                <c:pt idx="1">
                  <c:v>200.74666666666667</c:v>
                </c:pt>
                <c:pt idx="2">
                  <c:v>148.21333333333334</c:v>
                </c:pt>
                <c:pt idx="3">
                  <c:v>80.216666666666669</c:v>
                </c:pt>
                <c:pt idx="4">
                  <c:v>0</c:v>
                </c:pt>
              </c:numCache>
            </c:numRef>
          </c:xVal>
          <c:yVal>
            <c:numRef>
              <c:f>'Hoja 1'!$X$22:$X$24</c:f>
              <c:numCache>
                <c:formatCode>0.000</c:formatCode>
                <c:ptCount val="3"/>
                <c:pt idx="0">
                  <c:v>0</c:v>
                </c:pt>
                <c:pt idx="1">
                  <c:v>0.41563450329877011</c:v>
                </c:pt>
                <c:pt idx="2">
                  <c:v>0.42155275189188818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5-4D15-980D-1CCAC686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626607"/>
        <c:axId val="1936631183"/>
      </c:scatterChart>
      <c:valAx>
        <c:axId val="193662660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r>
                  <a:rPr lang="en-US"/>
                  <a:t>Velocidad Angular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panose="02010600030101010101" pitchFamily="2" charset="-122"/>
                  <a:ea typeface="DengXian" panose="02010600030101010101" pitchFamily="2" charset="-122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s-CO"/>
          </a:p>
        </c:txPr>
        <c:crossAx val="1936631183"/>
        <c:crosses val="autoZero"/>
        <c:crossBetween val="midCat"/>
      </c:valAx>
      <c:valAx>
        <c:axId val="19366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ngXian" panose="02010600030101010101" pitchFamily="2" charset="-122"/>
                    <a:ea typeface="DengXian" panose="02010600030101010101" pitchFamily="2" charset="-122"/>
                    <a:cs typeface="+mn-cs"/>
                  </a:defRPr>
                </a:pPr>
                <a:r>
                  <a:rPr lang="en-U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ngXian" panose="02010600030101010101" pitchFamily="2" charset="-122"/>
                  <a:ea typeface="DengXian" panose="02010600030101010101" pitchFamily="2" charset="-122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engXian" panose="02010600030101010101" pitchFamily="2" charset="-122"/>
                <a:ea typeface="DengXian" panose="02010600030101010101" pitchFamily="2" charset="-122"/>
                <a:cs typeface="+mn-cs"/>
              </a:defRPr>
            </a:pPr>
            <a:endParaRPr lang="es-CO"/>
          </a:p>
        </c:txPr>
        <c:crossAx val="193662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ngXian" panose="02010600030101010101" pitchFamily="2" charset="-122"/>
          <a:ea typeface="DengXian" panose="02010600030101010101" pitchFamily="2" charset="-122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265043</xdr:colOff>
      <xdr:row>17</xdr:row>
      <xdr:rowOff>168519</xdr:rowOff>
    </xdr:from>
    <xdr:to>
      <xdr:col>12</xdr:col>
      <xdr:colOff>519953</xdr:colOff>
      <xdr:row>22</xdr:row>
      <xdr:rowOff>125793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CDA9B4-BFBF-2A6B-E736-6ACF23ACB3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953"/>
        <a:stretch/>
      </xdr:blipFill>
      <xdr:spPr>
        <a:xfrm>
          <a:off x="11515749" y="3368919"/>
          <a:ext cx="2074745" cy="952356"/>
        </a:xfrm>
        <a:prstGeom prst="rect">
          <a:avLst/>
        </a:prstGeom>
      </xdr:spPr>
    </xdr:pic>
    <xdr:clientData/>
  </xdr:twoCellAnchor>
  <xdr:oneCellAnchor>
    <xdr:from>
      <xdr:col>5</xdr:col>
      <xdr:colOff>343952</xdr:colOff>
      <xdr:row>28</xdr:row>
      <xdr:rowOff>173158</xdr:rowOff>
    </xdr:from>
    <xdr:ext cx="19845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F68177-37C3-4F38-A94D-E5FD0773146B}"/>
                </a:ext>
              </a:extLst>
            </xdr:cNvPr>
            <xdr:cNvSpPr txBox="1"/>
          </xdr:nvSpPr>
          <xdr:spPr>
            <a:xfrm>
              <a:off x="4537580" y="3478661"/>
              <a:ext cx="19845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</a:rPr>
                      <m:t>ΔF</m:t>
                    </m:r>
                  </m:oMath>
                </m:oMathPara>
              </a14:m>
              <a:endParaRPr lang="es-CO" sz="1100" b="0">
                <a:latin typeface="DengXian" panose="02010600030101010101" pitchFamily="2" charset="-122"/>
                <a:ea typeface="DengXian" panose="02010600030101010101" pitchFamily="2" charset="-122"/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0F68177-37C3-4F38-A94D-E5FD0773146B}"/>
                </a:ext>
              </a:extLst>
            </xdr:cNvPr>
            <xdr:cNvSpPr txBox="1"/>
          </xdr:nvSpPr>
          <xdr:spPr>
            <a:xfrm>
              <a:off x="4537580" y="3478661"/>
              <a:ext cx="19845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ΔF</a:t>
              </a:r>
              <a:endParaRPr lang="es-CO" sz="1100" b="0">
                <a:latin typeface="DengXian" panose="02010600030101010101" pitchFamily="2" charset="-122"/>
                <a:ea typeface="DengXian" panose="02010600030101010101" pitchFamily="2" charset="-122"/>
              </a:endParaRPr>
            </a:p>
          </xdr:txBody>
        </xdr:sp>
      </mc:Fallback>
    </mc:AlternateContent>
    <xdr:clientData/>
  </xdr:oneCellAnchor>
  <xdr:twoCellAnchor editAs="oneCell">
    <xdr:from>
      <xdr:col>7</xdr:col>
      <xdr:colOff>221069</xdr:colOff>
      <xdr:row>29</xdr:row>
      <xdr:rowOff>48715</xdr:rowOff>
    </xdr:from>
    <xdr:to>
      <xdr:col>8</xdr:col>
      <xdr:colOff>1132149</xdr:colOff>
      <xdr:row>34</xdr:row>
      <xdr:rowOff>97944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B22F93-402B-4E46-17D1-3F5134FEC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7833" y="5659806"/>
          <a:ext cx="2338099" cy="1019047"/>
        </a:xfrm>
        <a:prstGeom prst="rect">
          <a:avLst/>
        </a:prstGeom>
      </xdr:spPr>
    </xdr:pic>
    <xdr:clientData/>
  </xdr:twoCellAnchor>
  <xdr:oneCellAnchor>
    <xdr:from>
      <xdr:col>5</xdr:col>
      <xdr:colOff>375174</xdr:colOff>
      <xdr:row>0</xdr:row>
      <xdr:rowOff>105336</xdr:rowOff>
    </xdr:from>
    <xdr:ext cx="189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4B87E7D-815F-418B-A00C-9CC801FD615F}"/>
                </a:ext>
              </a:extLst>
            </xdr:cNvPr>
            <xdr:cNvSpPr txBox="1"/>
          </xdr:nvSpPr>
          <xdr:spPr>
            <a:xfrm>
              <a:off x="4669268" y="105336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4B87E7D-815F-418B-A00C-9CC801FD615F}"/>
                </a:ext>
              </a:extLst>
            </xdr:cNvPr>
            <xdr:cNvSpPr txBox="1"/>
          </xdr:nvSpPr>
          <xdr:spPr>
            <a:xfrm>
              <a:off x="4669268" y="105336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𝑭_𝟏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6</xdr:col>
      <xdr:colOff>464820</xdr:colOff>
      <xdr:row>0</xdr:row>
      <xdr:rowOff>84717</xdr:rowOff>
    </xdr:from>
    <xdr:ext cx="1894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2818B7-6B54-45DE-A7A2-C9006E7FE27C}"/>
                </a:ext>
              </a:extLst>
            </xdr:cNvPr>
            <xdr:cNvSpPr txBox="1"/>
          </xdr:nvSpPr>
          <xdr:spPr>
            <a:xfrm>
              <a:off x="5637455" y="84717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E2818B7-6B54-45DE-A7A2-C9006E7FE27C}"/>
                </a:ext>
              </a:extLst>
            </xdr:cNvPr>
            <xdr:cNvSpPr txBox="1"/>
          </xdr:nvSpPr>
          <xdr:spPr>
            <a:xfrm>
              <a:off x="5637455" y="84717"/>
              <a:ext cx="1894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1" i="0">
                  <a:latin typeface="Cambria Math" panose="02040503050406030204" pitchFamily="18" charset="0"/>
                </a:rPr>
                <a:t>𝑭_𝟐</a:t>
              </a:r>
              <a:endParaRPr lang="es-CO" sz="1100" b="1"/>
            </a:p>
          </xdr:txBody>
        </xdr:sp>
      </mc:Fallback>
    </mc:AlternateContent>
    <xdr:clientData/>
  </xdr:oneCellAnchor>
  <xdr:twoCellAnchor editAs="oneCell">
    <xdr:from>
      <xdr:col>6</xdr:col>
      <xdr:colOff>318951</xdr:colOff>
      <xdr:row>39</xdr:row>
      <xdr:rowOff>175009</xdr:rowOff>
    </xdr:from>
    <xdr:to>
      <xdr:col>8</xdr:col>
      <xdr:colOff>680650</xdr:colOff>
      <xdr:row>48</xdr:row>
      <xdr:rowOff>43605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A3A0692-7E4F-28F4-93BF-B26354F6C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1571" y="7482589"/>
          <a:ext cx="3056489" cy="1560237"/>
        </a:xfrm>
        <a:prstGeom prst="rect">
          <a:avLst/>
        </a:prstGeom>
      </xdr:spPr>
    </xdr:pic>
    <xdr:clientData/>
  </xdr:twoCellAnchor>
  <xdr:twoCellAnchor editAs="oneCell">
    <xdr:from>
      <xdr:col>17</xdr:col>
      <xdr:colOff>63828</xdr:colOff>
      <xdr:row>12</xdr:row>
      <xdr:rowOff>186153</xdr:rowOff>
    </xdr:from>
    <xdr:to>
      <xdr:col>20</xdr:col>
      <xdr:colOff>240805</xdr:colOff>
      <xdr:row>18</xdr:row>
      <xdr:rowOff>241036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B782EEA-04E2-3922-0D0A-3C8F715B1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79570" y="2447572"/>
          <a:ext cx="2561300" cy="1177399"/>
        </a:xfrm>
        <a:prstGeom prst="rect">
          <a:avLst/>
        </a:prstGeom>
      </xdr:spPr>
    </xdr:pic>
    <xdr:clientData/>
  </xdr:twoCellAnchor>
  <xdr:twoCellAnchor editAs="oneCell">
    <xdr:from>
      <xdr:col>19</xdr:col>
      <xdr:colOff>118925</xdr:colOff>
      <xdr:row>20</xdr:row>
      <xdr:rowOff>55975</xdr:rowOff>
    </xdr:from>
    <xdr:to>
      <xdr:col>21</xdr:col>
      <xdr:colOff>641686</xdr:colOff>
      <xdr:row>25</xdr:row>
      <xdr:rowOff>160323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5DDC980-1B6A-07FD-82D9-F7D55FA4A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144820" y="3799133"/>
          <a:ext cx="2100233" cy="1040137"/>
        </a:xfrm>
        <a:prstGeom prst="rect">
          <a:avLst/>
        </a:prstGeom>
      </xdr:spPr>
    </xdr:pic>
    <xdr:clientData/>
  </xdr:twoCellAnchor>
  <xdr:twoCellAnchor editAs="oneCell">
    <xdr:from>
      <xdr:col>17</xdr:col>
      <xdr:colOff>284324</xdr:colOff>
      <xdr:row>27</xdr:row>
      <xdr:rowOff>127991</xdr:rowOff>
    </xdr:from>
    <xdr:to>
      <xdr:col>20</xdr:col>
      <xdr:colOff>597559</xdr:colOff>
      <xdr:row>34</xdr:row>
      <xdr:rowOff>126091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E0E4C7C-B753-72EA-C451-224B69B3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900066" y="5273539"/>
          <a:ext cx="2697558" cy="1317261"/>
        </a:xfrm>
        <a:prstGeom prst="rect">
          <a:avLst/>
        </a:prstGeom>
      </xdr:spPr>
    </xdr:pic>
    <xdr:clientData/>
  </xdr:twoCellAnchor>
  <xdr:twoCellAnchor editAs="oneCell">
    <xdr:from>
      <xdr:col>25</xdr:col>
      <xdr:colOff>246221</xdr:colOff>
      <xdr:row>19</xdr:row>
      <xdr:rowOff>77243</xdr:rowOff>
    </xdr:from>
    <xdr:to>
      <xdr:col>28</xdr:col>
      <xdr:colOff>724791</xdr:colOff>
      <xdr:row>26</xdr:row>
      <xdr:rowOff>186054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46FCBCD-CEE9-72B4-6F27-0F851AB90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023124" y="3715178"/>
          <a:ext cx="2862893" cy="1427973"/>
        </a:xfrm>
        <a:prstGeom prst="rect">
          <a:avLst/>
        </a:prstGeom>
      </xdr:spPr>
    </xdr:pic>
    <xdr:clientData/>
  </xdr:twoCellAnchor>
  <xdr:twoCellAnchor>
    <xdr:from>
      <xdr:col>21</xdr:col>
      <xdr:colOff>763386</xdr:colOff>
      <xdr:row>0</xdr:row>
      <xdr:rowOff>0</xdr:rowOff>
    </xdr:from>
    <xdr:to>
      <xdr:col>26</xdr:col>
      <xdr:colOff>569422</xdr:colOff>
      <xdr:row>14</xdr:row>
      <xdr:rowOff>27709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081EB80-068E-5532-1D3C-749C07E69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BE39F-9B52-4F2B-B0C1-9CE10E509849}">
  <dimension ref="A1:Y69"/>
  <sheetViews>
    <sheetView tabSelected="1" topLeftCell="A19" zoomScale="93" zoomScaleNormal="85" workbookViewId="0">
      <selection activeCell="K8" sqref="K8"/>
    </sheetView>
  </sheetViews>
  <sheetFormatPr baseColWidth="10" defaultRowHeight="13.8" x14ac:dyDescent="0.25"/>
  <cols>
    <col min="1" max="1" width="21.109375" style="1" bestFit="1" customWidth="1"/>
    <col min="2" max="2" width="18.88671875" style="1" bestFit="1" customWidth="1"/>
    <col min="3" max="3" width="11.5546875" style="1"/>
    <col min="4" max="4" width="14.88671875" style="1" customWidth="1"/>
    <col min="5" max="5" width="11.5546875" style="1" bestFit="1" customWidth="1"/>
    <col min="6" max="6" width="12.77734375" style="1" bestFit="1" customWidth="1"/>
    <col min="7" max="7" width="18.33203125" style="1" bestFit="1" customWidth="1"/>
    <col min="8" max="8" width="20.88671875" style="1" bestFit="1" customWidth="1"/>
    <col min="9" max="9" width="22.33203125" style="1" bestFit="1" customWidth="1"/>
    <col min="10" max="10" width="13.44140625" style="1" customWidth="1"/>
    <col min="11" max="11" width="15" style="1" customWidth="1"/>
    <col min="12" max="14" width="11.5546875" style="1"/>
    <col min="15" max="15" width="23.33203125" style="1" bestFit="1" customWidth="1"/>
    <col min="16" max="16" width="20.77734375" style="1" bestFit="1" customWidth="1"/>
    <col min="17" max="22" width="11.5546875" style="1"/>
    <col min="23" max="23" width="23.33203125" style="1" bestFit="1" customWidth="1"/>
    <col min="24" max="16384" width="11.5546875" style="1"/>
  </cols>
  <sheetData>
    <row r="1" spans="1:18" ht="15" thickTop="1" thickBot="1" x14ac:dyDescent="0.3">
      <c r="A1" s="35" t="s">
        <v>0</v>
      </c>
      <c r="B1" s="35" t="s">
        <v>19</v>
      </c>
      <c r="C1" s="35"/>
      <c r="D1" s="35"/>
      <c r="E1" s="35"/>
      <c r="F1" s="35"/>
      <c r="G1" s="35"/>
      <c r="H1" s="35" t="s">
        <v>17</v>
      </c>
      <c r="O1" s="28" t="s">
        <v>0</v>
      </c>
      <c r="P1" s="28" t="s">
        <v>33</v>
      </c>
    </row>
    <row r="2" spans="1:18" ht="15" thickTop="1" thickBot="1" x14ac:dyDescent="0.3">
      <c r="A2" s="35"/>
      <c r="B2" s="27">
        <v>1</v>
      </c>
      <c r="C2" s="27">
        <v>2</v>
      </c>
      <c r="D2" s="27">
        <v>3</v>
      </c>
      <c r="E2" s="27" t="s">
        <v>5</v>
      </c>
      <c r="F2" s="35"/>
      <c r="G2" s="35"/>
      <c r="H2" s="35"/>
      <c r="O2" s="11">
        <v>1</v>
      </c>
      <c r="P2" s="11">
        <v>107</v>
      </c>
    </row>
    <row r="3" spans="1:18" ht="15" thickTop="1" thickBot="1" x14ac:dyDescent="0.3">
      <c r="A3" s="15">
        <v>1</v>
      </c>
      <c r="B3" s="16">
        <v>229.13</v>
      </c>
      <c r="C3" s="16">
        <v>228.29</v>
      </c>
      <c r="D3" s="16">
        <v>227.14</v>
      </c>
      <c r="E3" s="18">
        <f>AVERAGE(B3:D3)</f>
        <v>228.18666666666664</v>
      </c>
      <c r="F3" s="17">
        <v>0</v>
      </c>
      <c r="G3" s="17">
        <v>0</v>
      </c>
      <c r="H3" s="36">
        <v>0.03</v>
      </c>
      <c r="O3" s="12">
        <v>2</v>
      </c>
      <c r="P3" s="12">
        <v>99</v>
      </c>
    </row>
    <row r="4" spans="1:18" ht="15" thickTop="1" thickBot="1" x14ac:dyDescent="0.3">
      <c r="A4" s="12">
        <v>2</v>
      </c>
      <c r="B4" s="23">
        <v>200.54</v>
      </c>
      <c r="C4" s="23">
        <v>200.85</v>
      </c>
      <c r="D4" s="23">
        <v>200.85</v>
      </c>
      <c r="E4" s="23">
        <f t="shared" ref="E4:E7" si="0">AVERAGE(B4:D4)</f>
        <v>200.74666666666667</v>
      </c>
      <c r="F4" s="12">
        <v>1.5</v>
      </c>
      <c r="G4" s="12">
        <v>0</v>
      </c>
      <c r="H4" s="36"/>
      <c r="O4" s="11">
        <v>3</v>
      </c>
      <c r="P4" s="11">
        <v>102</v>
      </c>
    </row>
    <row r="5" spans="1:18" ht="15" thickTop="1" thickBot="1" x14ac:dyDescent="0.3">
      <c r="A5" s="11">
        <v>3</v>
      </c>
      <c r="B5" s="18">
        <v>148.18</v>
      </c>
      <c r="C5" s="18">
        <v>146.4</v>
      </c>
      <c r="D5" s="18">
        <v>150.06</v>
      </c>
      <c r="E5" s="18">
        <f t="shared" si="0"/>
        <v>148.21333333333334</v>
      </c>
      <c r="F5" s="17">
        <v>2.5</v>
      </c>
      <c r="G5" s="17">
        <v>0.5</v>
      </c>
      <c r="H5" s="36"/>
    </row>
    <row r="6" spans="1:18" ht="15" thickTop="1" thickBot="1" x14ac:dyDescent="0.3">
      <c r="A6" s="12">
        <v>4</v>
      </c>
      <c r="B6" s="23">
        <v>80.010000000000005</v>
      </c>
      <c r="C6" s="23">
        <v>80.11</v>
      </c>
      <c r="D6" s="23">
        <v>80.53</v>
      </c>
      <c r="E6" s="23">
        <f t="shared" si="0"/>
        <v>80.216666666666669</v>
      </c>
      <c r="F6" s="12">
        <v>3.5</v>
      </c>
      <c r="G6" s="12">
        <v>0.5</v>
      </c>
      <c r="H6" s="36"/>
      <c r="O6" s="9" t="s">
        <v>34</v>
      </c>
      <c r="P6" s="10" t="s">
        <v>47</v>
      </c>
      <c r="Q6" s="10" t="s">
        <v>40</v>
      </c>
      <c r="R6" s="10" t="s">
        <v>42</v>
      </c>
    </row>
    <row r="7" spans="1:18" ht="15" thickTop="1" thickBot="1" x14ac:dyDescent="0.3">
      <c r="A7" s="11">
        <v>5</v>
      </c>
      <c r="B7" s="18">
        <v>0</v>
      </c>
      <c r="C7" s="18">
        <v>0</v>
      </c>
      <c r="D7" s="18">
        <v>0</v>
      </c>
      <c r="E7" s="18">
        <f t="shared" si="0"/>
        <v>0</v>
      </c>
      <c r="F7" s="17">
        <v>4.5</v>
      </c>
      <c r="G7" s="17">
        <v>1</v>
      </c>
      <c r="H7" s="36"/>
      <c r="O7" s="13" t="s">
        <v>35</v>
      </c>
      <c r="P7" s="11">
        <v>997</v>
      </c>
      <c r="Q7" s="11" t="s">
        <v>41</v>
      </c>
      <c r="R7" s="11" t="s">
        <v>45</v>
      </c>
    </row>
    <row r="8" spans="1:18" ht="15" thickTop="1" thickBot="1" x14ac:dyDescent="0.3">
      <c r="A8" s="4"/>
      <c r="B8" s="4"/>
      <c r="C8" s="5"/>
      <c r="D8" s="5"/>
      <c r="E8" s="5"/>
      <c r="F8" s="6"/>
      <c r="G8" s="6"/>
      <c r="H8" s="7"/>
      <c r="I8" s="7"/>
      <c r="J8" s="8"/>
      <c r="O8" s="13" t="s">
        <v>36</v>
      </c>
      <c r="P8" s="12">
        <v>9.81</v>
      </c>
      <c r="Q8" s="12" t="s">
        <v>41</v>
      </c>
      <c r="R8" s="12" t="s">
        <v>46</v>
      </c>
    </row>
    <row r="9" spans="1:18" ht="15" thickTop="1" thickBot="1" x14ac:dyDescent="0.3">
      <c r="A9" s="2" t="s">
        <v>29</v>
      </c>
      <c r="O9" s="13" t="s">
        <v>37</v>
      </c>
      <c r="P9" s="11">
        <v>22</v>
      </c>
      <c r="Q9" s="11">
        <v>0.25</v>
      </c>
      <c r="R9" s="11" t="s">
        <v>26</v>
      </c>
    </row>
    <row r="10" spans="1:18" ht="15" thickTop="1" thickBot="1" x14ac:dyDescent="0.3">
      <c r="A10" s="33" t="s">
        <v>19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O10" s="13" t="s">
        <v>38</v>
      </c>
      <c r="P10" s="12">
        <f>9.74*10^-5</f>
        <v>9.7400000000000009E-5</v>
      </c>
      <c r="Q10" s="12">
        <f>8.09*10^-9</f>
        <v>8.09E-9</v>
      </c>
      <c r="R10" s="12" t="s">
        <v>43</v>
      </c>
    </row>
    <row r="11" spans="1:18" ht="15" thickTop="1" thickBot="1" x14ac:dyDescent="0.3">
      <c r="A11" s="19" t="s">
        <v>32</v>
      </c>
      <c r="B11" s="19">
        <v>1</v>
      </c>
      <c r="C11" s="19">
        <v>2</v>
      </c>
      <c r="D11" s="19">
        <v>3</v>
      </c>
      <c r="E11" s="19" t="s">
        <v>5</v>
      </c>
      <c r="F11" s="19" t="s">
        <v>6</v>
      </c>
      <c r="G11" s="19" t="s">
        <v>7</v>
      </c>
      <c r="H11" s="19" t="s">
        <v>8</v>
      </c>
      <c r="I11" s="19" t="s">
        <v>9</v>
      </c>
      <c r="J11" s="19" t="s">
        <v>2</v>
      </c>
      <c r="K11" s="19" t="s">
        <v>3</v>
      </c>
      <c r="L11" s="19" t="s">
        <v>4</v>
      </c>
      <c r="O11" s="13" t="s">
        <v>39</v>
      </c>
      <c r="P11" s="11">
        <v>0.01</v>
      </c>
      <c r="Q11" s="11">
        <v>5.0000000000000001E-4</v>
      </c>
      <c r="R11" s="11" t="s">
        <v>44</v>
      </c>
    </row>
    <row r="12" spans="1:18" ht="15" thickTop="1" thickBot="1" x14ac:dyDescent="0.3">
      <c r="A12" s="11">
        <v>1</v>
      </c>
      <c r="B12" s="18">
        <f>B3</f>
        <v>229.13</v>
      </c>
      <c r="C12" s="18">
        <f t="shared" ref="C12:D12" si="1">C3</f>
        <v>228.29</v>
      </c>
      <c r="D12" s="18">
        <f t="shared" si="1"/>
        <v>227.14</v>
      </c>
      <c r="E12" s="18">
        <f>AVERAGE(B12:D12)</f>
        <v>228.18666666666664</v>
      </c>
      <c r="F12" s="18">
        <f>_xlfn.STDEV.S(B12:D12)</f>
        <v>0.9990161827184495</v>
      </c>
      <c r="G12" s="11">
        <f>COUNT(B12:D12)</f>
        <v>3</v>
      </c>
      <c r="H12" s="11">
        <f>G12-1</f>
        <v>2</v>
      </c>
      <c r="I12" s="18">
        <f>_xlfn.T.INV(1-(1-95%)/2,H12)</f>
        <v>4.3026527297494619</v>
      </c>
      <c r="J12" s="21">
        <f>$B$27</f>
        <v>1.0500000000000001E-2</v>
      </c>
      <c r="K12" s="18">
        <f>I12*F12/(SQRT(G12))</f>
        <v>2.4816937741397589</v>
      </c>
      <c r="L12" s="18">
        <f>SQRT(J12^2+K12^2)</f>
        <v>2.4817159866922807</v>
      </c>
      <c r="O12" s="14" t="s">
        <v>31</v>
      </c>
      <c r="P12" s="12" t="s">
        <v>41</v>
      </c>
      <c r="Q12" s="12">
        <v>1E-4</v>
      </c>
      <c r="R12" s="12" t="s">
        <v>48</v>
      </c>
    </row>
    <row r="13" spans="1:18" ht="15" thickTop="1" thickBot="1" x14ac:dyDescent="0.3">
      <c r="A13" s="12">
        <v>2</v>
      </c>
      <c r="B13" s="23">
        <f t="shared" ref="B13:D13" si="2">B4</f>
        <v>200.54</v>
      </c>
      <c r="C13" s="23">
        <f t="shared" si="2"/>
        <v>200.85</v>
      </c>
      <c r="D13" s="23">
        <f t="shared" si="2"/>
        <v>200.85</v>
      </c>
      <c r="E13" s="23">
        <f t="shared" ref="E13:E16" si="3">AVERAGE(B13:D13)</f>
        <v>200.74666666666667</v>
      </c>
      <c r="F13" s="23">
        <f t="shared" ref="F13:F16" si="4">_xlfn.STDEV.S(B13:D13)</f>
        <v>0.17897858344878528</v>
      </c>
      <c r="G13" s="12">
        <f t="shared" ref="G13:G16" si="5">COUNT(B13:D13)</f>
        <v>3</v>
      </c>
      <c r="H13" s="12">
        <f t="shared" ref="H13:H16" si="6">G13-1</f>
        <v>2</v>
      </c>
      <c r="I13" s="23">
        <f>_xlfn.T.INV(1-(1-95%)/2,H13)</f>
        <v>4.3026527297494619</v>
      </c>
      <c r="J13" s="25">
        <f t="shared" ref="J13:J16" si="7">$B$27</f>
        <v>1.0500000000000001E-2</v>
      </c>
      <c r="K13" s="23">
        <f>I13*F13/(SQRT(G13))</f>
        <v>0.44460744874078095</v>
      </c>
      <c r="L13" s="23">
        <f t="shared" ref="L13:L16" si="8">SQRT(J13^2+K13^2)</f>
        <v>0.44473141723492637</v>
      </c>
    </row>
    <row r="14" spans="1:18" ht="15" thickTop="1" thickBot="1" x14ac:dyDescent="0.3">
      <c r="A14" s="11">
        <v>3</v>
      </c>
      <c r="B14" s="18">
        <f t="shared" ref="B14:D14" si="9">B5</f>
        <v>148.18</v>
      </c>
      <c r="C14" s="18">
        <f t="shared" si="9"/>
        <v>146.4</v>
      </c>
      <c r="D14" s="18">
        <f t="shared" si="9"/>
        <v>150.06</v>
      </c>
      <c r="E14" s="18">
        <f t="shared" si="3"/>
        <v>148.21333333333334</v>
      </c>
      <c r="F14" s="18">
        <f t="shared" si="4"/>
        <v>1.830227672540585</v>
      </c>
      <c r="G14" s="11">
        <f t="shared" si="5"/>
        <v>3</v>
      </c>
      <c r="H14" s="11">
        <f t="shared" si="6"/>
        <v>2</v>
      </c>
      <c r="I14" s="18">
        <f>_xlfn.T.INV(1-(1-95%)/2,H14)</f>
        <v>4.3026527297494619</v>
      </c>
      <c r="J14" s="21">
        <f t="shared" si="7"/>
        <v>1.0500000000000001E-2</v>
      </c>
      <c r="K14" s="18">
        <f t="shared" ref="K14:K16" si="10">I14*F14/(SQRT(G14))</f>
        <v>4.546537582447101</v>
      </c>
      <c r="L14" s="18">
        <f t="shared" si="8"/>
        <v>4.5465497070420255</v>
      </c>
      <c r="O14" s="29" t="s">
        <v>0</v>
      </c>
      <c r="P14" s="29" t="s">
        <v>38</v>
      </c>
      <c r="Q14" s="29" t="s">
        <v>49</v>
      </c>
    </row>
    <row r="15" spans="1:18" ht="15" thickTop="1" thickBot="1" x14ac:dyDescent="0.3">
      <c r="A15" s="12">
        <v>4</v>
      </c>
      <c r="B15" s="23">
        <f t="shared" ref="B15:D15" si="11">B6</f>
        <v>80.010000000000005</v>
      </c>
      <c r="C15" s="23">
        <f t="shared" si="11"/>
        <v>80.11</v>
      </c>
      <c r="D15" s="23">
        <f t="shared" si="11"/>
        <v>80.53</v>
      </c>
      <c r="E15" s="23">
        <f t="shared" si="3"/>
        <v>80.216666666666669</v>
      </c>
      <c r="F15" s="23">
        <f t="shared" si="4"/>
        <v>0.27592269448766388</v>
      </c>
      <c r="G15" s="12">
        <f t="shared" si="5"/>
        <v>3</v>
      </c>
      <c r="H15" s="12">
        <f t="shared" si="6"/>
        <v>2</v>
      </c>
      <c r="I15" s="23">
        <f t="shared" ref="I15:I16" si="12">_xlfn.T.INV(1-(1-95%)/2,H15)</f>
        <v>4.3026527297494619</v>
      </c>
      <c r="J15" s="25">
        <f t="shared" si="7"/>
        <v>1.0500000000000001E-2</v>
      </c>
      <c r="K15" s="23">
        <f t="shared" si="10"/>
        <v>0.6854299709045707</v>
      </c>
      <c r="L15" s="23">
        <f>SQRT(J15^2+K15^2)</f>
        <v>0.68551039015775728</v>
      </c>
      <c r="O15" s="11">
        <v>1</v>
      </c>
      <c r="P15" s="21">
        <f>$P$11/P2</f>
        <v>9.3457943925233641E-5</v>
      </c>
      <c r="Q15" s="21">
        <f>SQRT(SUMSQ(1/P2*$Q$11,-$P$11/P2^2*$Q$12))</f>
        <v>4.6728971970779792E-6</v>
      </c>
    </row>
    <row r="16" spans="1:18" ht="15" thickTop="1" thickBot="1" x14ac:dyDescent="0.3">
      <c r="A16" s="11">
        <v>5</v>
      </c>
      <c r="B16" s="18">
        <f t="shared" ref="B16:D16" si="13">B7</f>
        <v>0</v>
      </c>
      <c r="C16" s="18">
        <f t="shared" si="13"/>
        <v>0</v>
      </c>
      <c r="D16" s="18">
        <f t="shared" si="13"/>
        <v>0</v>
      </c>
      <c r="E16" s="18">
        <f t="shared" si="3"/>
        <v>0</v>
      </c>
      <c r="F16" s="18">
        <f t="shared" si="4"/>
        <v>0</v>
      </c>
      <c r="G16" s="11">
        <f t="shared" si="5"/>
        <v>3</v>
      </c>
      <c r="H16" s="11">
        <f t="shared" si="6"/>
        <v>2</v>
      </c>
      <c r="I16" s="18">
        <f t="shared" si="12"/>
        <v>4.3026527297494619</v>
      </c>
      <c r="J16" s="21">
        <f t="shared" si="7"/>
        <v>1.0500000000000001E-2</v>
      </c>
      <c r="K16" s="18">
        <f t="shared" si="10"/>
        <v>0</v>
      </c>
      <c r="L16" s="18">
        <f t="shared" si="8"/>
        <v>1.0500000000000001E-2</v>
      </c>
      <c r="O16" s="12">
        <v>2</v>
      </c>
      <c r="P16" s="25">
        <f>$P$11/P3</f>
        <v>1.0101010101010101E-4</v>
      </c>
      <c r="Q16" s="25">
        <f>SQRT(SUMSQ(1/P3*$Q$11,-$P$11/P3^2*$Q$12))</f>
        <v>5.0505050515356611E-6</v>
      </c>
    </row>
    <row r="17" spans="1:25" ht="15" customHeight="1" thickTop="1" thickBot="1" x14ac:dyDescent="0.3">
      <c r="A17" s="2" t="s">
        <v>30</v>
      </c>
      <c r="O17" s="11">
        <v>3</v>
      </c>
      <c r="P17" s="21">
        <f>$P$11/P4</f>
        <v>9.8039215686274506E-5</v>
      </c>
      <c r="Q17" s="21">
        <f>SQRT(SUMSQ(1/P4*$Q$11,-$P$11/P4^2*$Q$12))</f>
        <v>4.9019607852560481E-6</v>
      </c>
      <c r="W17" s="32" t="s">
        <v>57</v>
      </c>
      <c r="X17" s="32"/>
    </row>
    <row r="18" spans="1:25" ht="14.4" customHeight="1" thickTop="1" thickBot="1" x14ac:dyDescent="0.3">
      <c r="A18" s="33" t="s">
        <v>19</v>
      </c>
      <c r="B18" s="33"/>
      <c r="C18" s="33"/>
      <c r="D18" s="33"/>
      <c r="E18" s="33"/>
      <c r="F18" s="33"/>
      <c r="G18" s="33"/>
      <c r="H18" s="33"/>
      <c r="I18" s="33"/>
      <c r="J18" s="33"/>
      <c r="W18" s="32"/>
      <c r="X18" s="32"/>
    </row>
    <row r="19" spans="1:25" ht="19.8" customHeight="1" thickTop="1" thickBot="1" x14ac:dyDescent="0.3">
      <c r="A19" s="19" t="s">
        <v>32</v>
      </c>
      <c r="B19" s="19">
        <v>1</v>
      </c>
      <c r="C19" s="19">
        <v>2</v>
      </c>
      <c r="D19" s="19">
        <v>3</v>
      </c>
      <c r="E19" s="19" t="s">
        <v>5</v>
      </c>
      <c r="F19" s="19" t="s">
        <v>6</v>
      </c>
      <c r="G19" s="19" t="s">
        <v>7</v>
      </c>
      <c r="H19" s="19" t="s">
        <v>2</v>
      </c>
      <c r="I19" s="19" t="s">
        <v>3</v>
      </c>
      <c r="J19" s="19" t="s">
        <v>4</v>
      </c>
      <c r="W19" s="32"/>
      <c r="X19" s="32"/>
    </row>
    <row r="20" spans="1:25" ht="15" thickTop="1" thickBot="1" x14ac:dyDescent="0.3">
      <c r="A20" s="11">
        <v>1</v>
      </c>
      <c r="B20" s="20">
        <v>229.12682420181599</v>
      </c>
      <c r="C20" s="20">
        <v>228.28906616085831</v>
      </c>
      <c r="D20" s="20">
        <v>227.13714885454203</v>
      </c>
      <c r="E20" s="18">
        <f>AVERAGE(B20:D20)</f>
        <v>228.18434640573878</v>
      </c>
      <c r="F20" s="18">
        <f>_xlfn.STDEV.S(B20:D20)</f>
        <v>0.99896279571446422</v>
      </c>
      <c r="G20" s="11">
        <f>COUNT(B20:D20)</f>
        <v>3</v>
      </c>
      <c r="H20" s="21">
        <f>$B$27</f>
        <v>1.0500000000000001E-2</v>
      </c>
      <c r="I20" s="18">
        <f>_xlfn.CONFIDENCE.T($B$26,F20,G20)</f>
        <v>2.4815611534698419</v>
      </c>
      <c r="J20" s="18">
        <f>SQRT(H20^2+I20^2)</f>
        <v>2.4815833672094461</v>
      </c>
    </row>
    <row r="21" spans="1:25" ht="15" thickTop="1" thickBot="1" x14ac:dyDescent="0.3">
      <c r="A21" s="12">
        <v>2</v>
      </c>
      <c r="B21" s="24">
        <v>200.53833105414844</v>
      </c>
      <c r="C21" s="24">
        <v>200.85249031950744</v>
      </c>
      <c r="D21" s="24">
        <v>200.85249031950744</v>
      </c>
      <c r="E21" s="23">
        <f t="shared" ref="E21:E24" si="14">AVERAGE(B21:D21)</f>
        <v>200.74777056438776</v>
      </c>
      <c r="F21" s="23">
        <f t="shared" ref="F21:F24" si="15">_xlfn.STDEV.S(B21:D21)</f>
        <v>0.181379936423431</v>
      </c>
      <c r="G21" s="12">
        <f t="shared" ref="G21:G24" si="16">COUNT(B21:D21)</f>
        <v>3</v>
      </c>
      <c r="H21" s="25">
        <f t="shared" ref="H21:H24" si="17">$B$27</f>
        <v>1.0500000000000001E-2</v>
      </c>
      <c r="I21" s="23">
        <f t="shared" ref="I21:I23" si="18">_xlfn.CONFIDENCE.T($B$26,F21,G21)</f>
        <v>0.45057274022432225</v>
      </c>
      <c r="J21" s="23">
        <f t="shared" ref="J21:J22" si="19">SQRT(H21^2+I21^2)</f>
        <v>0.45069506790429226</v>
      </c>
      <c r="O21" s="30" t="s">
        <v>50</v>
      </c>
      <c r="P21" s="30" t="s">
        <v>1</v>
      </c>
      <c r="Q21" s="30" t="s">
        <v>27</v>
      </c>
      <c r="R21" s="30" t="s">
        <v>51</v>
      </c>
      <c r="S21" s="30" t="s">
        <v>16</v>
      </c>
      <c r="W21" s="30" t="s">
        <v>50</v>
      </c>
      <c r="X21" s="30" t="s">
        <v>53</v>
      </c>
      <c r="Y21" s="30" t="s">
        <v>16</v>
      </c>
    </row>
    <row r="22" spans="1:25" ht="15" thickTop="1" thickBot="1" x14ac:dyDescent="0.3">
      <c r="A22" s="11">
        <v>3</v>
      </c>
      <c r="B22" s="20">
        <v>148.17845349431857</v>
      </c>
      <c r="C22" s="20">
        <v>146.39821765728436</v>
      </c>
      <c r="D22" s="20">
        <v>150.06340908647243</v>
      </c>
      <c r="E22" s="18">
        <f t="shared" si="14"/>
        <v>148.21336007935847</v>
      </c>
      <c r="F22" s="18">
        <f t="shared" si="15"/>
        <v>1.8328450303852155</v>
      </c>
      <c r="G22" s="11">
        <f t="shared" si="16"/>
        <v>3</v>
      </c>
      <c r="H22" s="21">
        <f t="shared" si="17"/>
        <v>1.0500000000000001E-2</v>
      </c>
      <c r="I22" s="18">
        <f t="shared" si="18"/>
        <v>4.5530394597740935</v>
      </c>
      <c r="J22" s="18">
        <f t="shared" si="19"/>
        <v>4.5530515670547782</v>
      </c>
      <c r="O22" s="11">
        <v>1</v>
      </c>
      <c r="P22" s="18">
        <f>E20*B43</f>
        <v>0</v>
      </c>
      <c r="Q22" s="18">
        <f>SQRT(SUMSQ(E20*C43,B43*H20))</f>
        <v>2.4202604805617716</v>
      </c>
      <c r="R22" s="18">
        <f>SQRT((B43*I20)^2)</f>
        <v>0</v>
      </c>
      <c r="S22" s="18">
        <f>SQRT(SUMSQ(Q22,R22))</f>
        <v>2.4202604805617716</v>
      </c>
      <c r="W22" s="11">
        <v>1</v>
      </c>
      <c r="X22" s="18">
        <f>P22/P29</f>
        <v>0</v>
      </c>
      <c r="Y22" s="18">
        <f>SQRT(SUMSQ(1/$P$29*S22,-P22/$P$29^2*$Q$29))</f>
        <v>0.12035358760003001</v>
      </c>
    </row>
    <row r="23" spans="1:25" ht="15" thickTop="1" thickBot="1" x14ac:dyDescent="0.3">
      <c r="A23" s="12">
        <v>4</v>
      </c>
      <c r="B23" s="24">
        <v>80.005892911420062</v>
      </c>
      <c r="C23" s="24">
        <v>80.110612666539723</v>
      </c>
      <c r="D23" s="24">
        <v>80.529491687018364</v>
      </c>
      <c r="E23" s="23">
        <f t="shared" si="14"/>
        <v>80.215332421659397</v>
      </c>
      <c r="F23" s="23">
        <f t="shared" si="15"/>
        <v>0.27706242940220427</v>
      </c>
      <c r="G23" s="12">
        <f t="shared" si="16"/>
        <v>3</v>
      </c>
      <c r="H23" s="25">
        <f t="shared" si="17"/>
        <v>1.0500000000000001E-2</v>
      </c>
      <c r="I23" s="23">
        <f t="shared" si="18"/>
        <v>0.68826122938717904</v>
      </c>
      <c r="J23" s="23">
        <f>SQRT(H23^2+I23^2)</f>
        <v>0.68834131786313035</v>
      </c>
      <c r="O23" s="12">
        <v>2</v>
      </c>
      <c r="P23" s="23">
        <f>E21*B44</f>
        <v>9.0336496753974487</v>
      </c>
      <c r="Q23" s="23">
        <f>SQRT(SUMSQ(E21*C44,B44*H21))</f>
        <v>2.129251700538386</v>
      </c>
      <c r="R23" s="23">
        <f>SQRT((B44*I21)^2)</f>
        <v>2.0275773310094499E-2</v>
      </c>
      <c r="S23" s="23">
        <f t="shared" ref="S23:S26" si="20">SQRT(SUMSQ(Q23,R23))</f>
        <v>2.1293482362518654</v>
      </c>
      <c r="W23" s="12">
        <v>2</v>
      </c>
      <c r="X23" s="23">
        <f t="shared" ref="X23:X24" si="21">P23/P30</f>
        <v>0.41563450329877011</v>
      </c>
      <c r="Y23" s="23">
        <f>SQRT(SUMSQ(1/$P$29*S23,-P23/$P$29^2*$Q$29))</f>
        <v>0.10836357892270258</v>
      </c>
    </row>
    <row r="24" spans="1:25" ht="15" thickTop="1" thickBot="1" x14ac:dyDescent="0.3">
      <c r="A24" s="11">
        <v>5</v>
      </c>
      <c r="B24" s="17">
        <v>0</v>
      </c>
      <c r="C24" s="17">
        <v>0</v>
      </c>
      <c r="D24" s="17">
        <v>0</v>
      </c>
      <c r="E24" s="18">
        <f t="shared" si="14"/>
        <v>0</v>
      </c>
      <c r="F24" s="18">
        <f t="shared" si="15"/>
        <v>0</v>
      </c>
      <c r="G24" s="11">
        <f t="shared" si="16"/>
        <v>3</v>
      </c>
      <c r="H24" s="21">
        <f t="shared" si="17"/>
        <v>1.0500000000000001E-2</v>
      </c>
      <c r="I24" s="18">
        <v>0</v>
      </c>
      <c r="J24" s="18">
        <f t="shared" ref="J24" si="22">SQRT(H24^2+I24^2)</f>
        <v>1.0500000000000001E-2</v>
      </c>
      <c r="O24" s="11">
        <v>3</v>
      </c>
      <c r="P24" s="18">
        <f>E22*B45</f>
        <v>8.8928016047615071</v>
      </c>
      <c r="Q24" s="18">
        <f>SQRT(SUMSQ(E22*C45,B45*H22))</f>
        <v>1.5720402058556031</v>
      </c>
      <c r="R24" s="18">
        <f>SQRT((B45*I22)^2)</f>
        <v>0.2731823675864456</v>
      </c>
      <c r="S24" s="18">
        <f t="shared" si="20"/>
        <v>1.5955998918233427</v>
      </c>
      <c r="W24" s="11">
        <v>3</v>
      </c>
      <c r="X24" s="18">
        <f t="shared" si="21"/>
        <v>0.42155275189188818</v>
      </c>
      <c r="Y24" s="18">
        <f>SQRT(SUMSQ(1/$P$29*S24,-P24/$P$29^2*$Q$29))</f>
        <v>8.2521579536940975E-2</v>
      </c>
    </row>
    <row r="25" spans="1:25" ht="15" thickTop="1" thickBot="1" x14ac:dyDescent="0.3">
      <c r="A25" s="2" t="s">
        <v>21</v>
      </c>
      <c r="B25" s="3">
        <v>0.95</v>
      </c>
      <c r="O25" s="12">
        <v>4</v>
      </c>
      <c r="P25" s="23">
        <f>E23*B46</f>
        <v>7.2193799179493459</v>
      </c>
      <c r="Q25" s="23">
        <f>SQRT(SUMSQ(E23*C46,B46*H23))</f>
        <v>0.85081260746459253</v>
      </c>
      <c r="R25" s="23">
        <f>SQRT((B46*I23)^2)</f>
        <v>6.1943510644846114E-2</v>
      </c>
      <c r="S25" s="23">
        <f t="shared" si="20"/>
        <v>0.85306452952382628</v>
      </c>
    </row>
    <row r="26" spans="1:25" ht="15" thickTop="1" thickBot="1" x14ac:dyDescent="0.3">
      <c r="A26" s="2" t="s">
        <v>20</v>
      </c>
      <c r="B26" s="3">
        <f>1-B25</f>
        <v>5.0000000000000044E-2</v>
      </c>
      <c r="O26" s="11">
        <v>5</v>
      </c>
      <c r="P26" s="18">
        <f>E24*B47</f>
        <v>0</v>
      </c>
      <c r="Q26" s="18">
        <f>SQRT(SUMSQ(E24*C47,B47*H24))</f>
        <v>1.1025E-3</v>
      </c>
      <c r="R26" s="18">
        <f>SQRT((B47*I24)^2)</f>
        <v>0</v>
      </c>
      <c r="S26" s="18">
        <f t="shared" si="20"/>
        <v>1.1025E-3</v>
      </c>
    </row>
    <row r="27" spans="1:25" ht="15.6" customHeight="1" thickTop="1" thickBot="1" x14ac:dyDescent="0.3">
      <c r="A27" s="2" t="s">
        <v>22</v>
      </c>
      <c r="B27" s="1">
        <v>1.0500000000000001E-2</v>
      </c>
      <c r="C27" s="1" t="s">
        <v>24</v>
      </c>
    </row>
    <row r="28" spans="1:25" ht="15" thickTop="1" thickBot="1" x14ac:dyDescent="0.3">
      <c r="O28" s="31" t="s">
        <v>50</v>
      </c>
      <c r="P28" s="31" t="s">
        <v>52</v>
      </c>
      <c r="Q28" s="31" t="s">
        <v>16</v>
      </c>
    </row>
    <row r="29" spans="1:25" ht="15" thickTop="1" thickBot="1" x14ac:dyDescent="0.3">
      <c r="A29" s="34" t="s">
        <v>12</v>
      </c>
      <c r="B29" s="34"/>
      <c r="C29" s="34"/>
      <c r="D29" s="34"/>
      <c r="E29" s="34"/>
      <c r="F29" s="34"/>
      <c r="G29" s="34"/>
      <c r="O29" s="11" t="s">
        <v>56</v>
      </c>
      <c r="P29" s="18">
        <f>$P$7*$P$8*P15*$P$9</f>
        <v>20.109583177570091</v>
      </c>
      <c r="Q29" s="18">
        <f>SQRT(SUMSQ($P$7*$P$8*$P$9*Q15,$P$7*$P$8*P15*$Q$9))</f>
        <v>1.0311201730859865</v>
      </c>
    </row>
    <row r="30" spans="1:25" ht="15" thickTop="1" thickBot="1" x14ac:dyDescent="0.3">
      <c r="A30" s="22"/>
      <c r="B30" s="22" t="s">
        <v>10</v>
      </c>
      <c r="C30" s="22" t="s">
        <v>11</v>
      </c>
      <c r="D30" s="22" t="s">
        <v>13</v>
      </c>
      <c r="E30" s="22" t="s">
        <v>14</v>
      </c>
      <c r="F30" s="22"/>
      <c r="G30" s="22" t="s">
        <v>55</v>
      </c>
      <c r="O30" s="12">
        <v>2</v>
      </c>
      <c r="P30" s="23">
        <f t="shared" ref="P30:P31" si="23">$P$7*$P$8*P16*$P$9</f>
        <v>21.7346</v>
      </c>
      <c r="Q30" s="23">
        <f t="shared" ref="Q30:Q31" si="24">SQRT(SUMSQ($P$7*$P$8*$P$9*Q16,$P$7*$P$8*P16*$Q$9))</f>
        <v>1.1144430153866882</v>
      </c>
    </row>
    <row r="31" spans="1:25" ht="15" thickTop="1" thickBot="1" x14ac:dyDescent="0.3">
      <c r="A31" s="11">
        <v>1</v>
      </c>
      <c r="B31" s="17">
        <v>0</v>
      </c>
      <c r="C31" s="17">
        <v>0</v>
      </c>
      <c r="D31" s="11">
        <f>$B$38/2</f>
        <v>0.25</v>
      </c>
      <c r="E31" s="11">
        <f>$B$38/2</f>
        <v>0.25</v>
      </c>
      <c r="F31" s="18">
        <f>B31-C31</f>
        <v>0</v>
      </c>
      <c r="G31" s="18">
        <f>SQRT(D31^2+E31^2)</f>
        <v>0.35355339059327379</v>
      </c>
      <c r="O31" s="11">
        <v>3</v>
      </c>
      <c r="P31" s="18">
        <f t="shared" si="23"/>
        <v>21.095347058823528</v>
      </c>
      <c r="Q31" s="18">
        <f t="shared" si="24"/>
        <v>1.0816652796278565</v>
      </c>
    </row>
    <row r="32" spans="1:25" ht="15" thickTop="1" thickBot="1" x14ac:dyDescent="0.3">
      <c r="A32" s="12">
        <v>2</v>
      </c>
      <c r="B32" s="12">
        <v>1.5</v>
      </c>
      <c r="C32" s="12">
        <v>0</v>
      </c>
      <c r="D32" s="12">
        <f t="shared" ref="D32:E35" si="25">$B$38/2</f>
        <v>0.25</v>
      </c>
      <c r="E32" s="12">
        <f t="shared" si="25"/>
        <v>0.25</v>
      </c>
      <c r="F32" s="23">
        <f t="shared" ref="F32:F35" si="26">B32-C32</f>
        <v>1.5</v>
      </c>
      <c r="G32" s="23">
        <f>SQRT(D32^2+E32^2)</f>
        <v>0.35355339059327379</v>
      </c>
    </row>
    <row r="33" spans="1:7" ht="15" thickTop="1" thickBot="1" x14ac:dyDescent="0.3">
      <c r="A33" s="11">
        <v>3</v>
      </c>
      <c r="B33" s="17">
        <v>2.5</v>
      </c>
      <c r="C33" s="17">
        <v>0.5</v>
      </c>
      <c r="D33" s="11">
        <f t="shared" si="25"/>
        <v>0.25</v>
      </c>
      <c r="E33" s="11">
        <f t="shared" si="25"/>
        <v>0.25</v>
      </c>
      <c r="F33" s="18">
        <f>B33-C33</f>
        <v>2</v>
      </c>
      <c r="G33" s="18">
        <f>SQRT(D33^2+E33^2)</f>
        <v>0.35355339059327379</v>
      </c>
    </row>
    <row r="34" spans="1:7" ht="15" thickTop="1" thickBot="1" x14ac:dyDescent="0.3">
      <c r="A34" s="12">
        <v>4</v>
      </c>
      <c r="B34" s="12">
        <v>3.5</v>
      </c>
      <c r="C34" s="12">
        <v>0.5</v>
      </c>
      <c r="D34" s="12">
        <f t="shared" si="25"/>
        <v>0.25</v>
      </c>
      <c r="E34" s="12">
        <f t="shared" si="25"/>
        <v>0.25</v>
      </c>
      <c r="F34" s="23">
        <f t="shared" si="26"/>
        <v>3</v>
      </c>
      <c r="G34" s="23">
        <f>SQRT(D34^2+E34^2)</f>
        <v>0.35355339059327379</v>
      </c>
    </row>
    <row r="35" spans="1:7" ht="15" thickTop="1" thickBot="1" x14ac:dyDescent="0.3">
      <c r="A35" s="11">
        <v>5</v>
      </c>
      <c r="B35" s="17">
        <v>4.5</v>
      </c>
      <c r="C35" s="17">
        <v>1</v>
      </c>
      <c r="D35" s="11">
        <f t="shared" si="25"/>
        <v>0.25</v>
      </c>
      <c r="E35" s="11">
        <f t="shared" si="25"/>
        <v>0.25</v>
      </c>
      <c r="F35" s="18">
        <f t="shared" si="26"/>
        <v>3.5</v>
      </c>
      <c r="G35" s="18">
        <f>SQRT(D35^2+E35^2)</f>
        <v>0.35355339059327379</v>
      </c>
    </row>
    <row r="36" spans="1:7" ht="14.4" thickTop="1" x14ac:dyDescent="0.25">
      <c r="A36" s="2" t="s">
        <v>21</v>
      </c>
      <c r="B36" s="1">
        <v>0.95</v>
      </c>
    </row>
    <row r="37" spans="1:7" x14ac:dyDescent="0.25">
      <c r="A37" s="2" t="s">
        <v>20</v>
      </c>
      <c r="B37" s="1">
        <v>0.05</v>
      </c>
    </row>
    <row r="38" spans="1:7" x14ac:dyDescent="0.25">
      <c r="A38" s="2" t="s">
        <v>22</v>
      </c>
      <c r="B38" s="1">
        <v>0.5</v>
      </c>
      <c r="C38" s="1" t="s">
        <v>23</v>
      </c>
    </row>
    <row r="40" spans="1:7" x14ac:dyDescent="0.25">
      <c r="A40" s="2" t="s">
        <v>25</v>
      </c>
      <c r="B40" s="1">
        <v>0.03</v>
      </c>
      <c r="C40" s="1" t="s">
        <v>26</v>
      </c>
      <c r="D40" s="1" t="s">
        <v>27</v>
      </c>
      <c r="E40" s="1">
        <v>0</v>
      </c>
    </row>
    <row r="41" spans="1:7" ht="14.4" thickBot="1" x14ac:dyDescent="0.3">
      <c r="D41" s="1" t="s">
        <v>28</v>
      </c>
      <c r="E41" s="1">
        <v>0</v>
      </c>
    </row>
    <row r="42" spans="1:7" ht="15" customHeight="1" thickTop="1" thickBot="1" x14ac:dyDescent="0.3">
      <c r="A42" s="26" t="s">
        <v>32</v>
      </c>
      <c r="B42" s="26" t="s">
        <v>18</v>
      </c>
      <c r="C42" s="26" t="s">
        <v>15</v>
      </c>
      <c r="D42" s="26" t="s">
        <v>4</v>
      </c>
      <c r="E42" s="32" t="s">
        <v>54</v>
      </c>
      <c r="F42" s="32"/>
    </row>
    <row r="43" spans="1:7" ht="15" thickTop="1" thickBot="1" x14ac:dyDescent="0.3">
      <c r="A43" s="11">
        <v>1</v>
      </c>
      <c r="B43" s="18">
        <f>$B$40*F31</f>
        <v>0</v>
      </c>
      <c r="C43" s="18">
        <f>SQRT(SUMSQ($B$40*G31,F31*$E$40))</f>
        <v>1.0606601717798213E-2</v>
      </c>
      <c r="D43" s="18">
        <f>SQRT(C43^2)</f>
        <v>1.0606601717798213E-2</v>
      </c>
      <c r="E43" s="32"/>
      <c r="F43" s="32"/>
    </row>
    <row r="44" spans="1:7" ht="15" thickTop="1" thickBot="1" x14ac:dyDescent="0.3">
      <c r="A44" s="12">
        <v>2</v>
      </c>
      <c r="B44" s="23">
        <f t="shared" ref="B44:B47" si="27">$B$40*F32</f>
        <v>4.4999999999999998E-2</v>
      </c>
      <c r="C44" s="23">
        <f>SQRT(SUMSQ($B$40*G32,F32*$E$40))</f>
        <v>1.0606601717798213E-2</v>
      </c>
      <c r="D44" s="23">
        <f t="shared" ref="D44:D47" si="28">SQRT(C44^2)</f>
        <v>1.0606601717798213E-2</v>
      </c>
      <c r="E44" s="32"/>
      <c r="F44" s="32"/>
    </row>
    <row r="45" spans="1:7" ht="15" thickTop="1" thickBot="1" x14ac:dyDescent="0.3">
      <c r="A45" s="11">
        <v>3</v>
      </c>
      <c r="B45" s="18">
        <f t="shared" si="27"/>
        <v>0.06</v>
      </c>
      <c r="C45" s="18">
        <f t="shared" ref="C45:C47" si="29">SQRT(SUMSQ($B$40*G33,F33*$E$40))</f>
        <v>1.0606601717798213E-2</v>
      </c>
      <c r="D45" s="18">
        <f t="shared" si="28"/>
        <v>1.0606601717798213E-2</v>
      </c>
      <c r="E45" s="32"/>
      <c r="F45" s="32"/>
    </row>
    <row r="46" spans="1:7" ht="15" thickTop="1" thickBot="1" x14ac:dyDescent="0.3">
      <c r="A46" s="12">
        <v>4</v>
      </c>
      <c r="B46" s="23">
        <f t="shared" si="27"/>
        <v>0.09</v>
      </c>
      <c r="C46" s="23">
        <f t="shared" si="29"/>
        <v>1.0606601717798213E-2</v>
      </c>
      <c r="D46" s="23">
        <f t="shared" si="28"/>
        <v>1.0606601717798213E-2</v>
      </c>
      <c r="E46" s="32"/>
      <c r="F46" s="32"/>
    </row>
    <row r="47" spans="1:7" ht="15" thickTop="1" thickBot="1" x14ac:dyDescent="0.3">
      <c r="A47" s="11">
        <v>5</v>
      </c>
      <c r="B47" s="18">
        <f t="shared" si="27"/>
        <v>0.105</v>
      </c>
      <c r="C47" s="18">
        <f t="shared" si="29"/>
        <v>1.0606601717798213E-2</v>
      </c>
      <c r="D47" s="18">
        <f t="shared" si="28"/>
        <v>1.0606601717798213E-2</v>
      </c>
      <c r="E47" s="32"/>
      <c r="F47" s="32"/>
    </row>
    <row r="48" spans="1:7" ht="14.4" thickTop="1" x14ac:dyDescent="0.25">
      <c r="E48" s="32"/>
      <c r="F48" s="32"/>
    </row>
    <row r="69" ht="16.8" customHeight="1" x14ac:dyDescent="0.25"/>
  </sheetData>
  <mergeCells count="11">
    <mergeCell ref="W17:X19"/>
    <mergeCell ref="E42:F48"/>
    <mergeCell ref="A10:L10"/>
    <mergeCell ref="A18:J18"/>
    <mergeCell ref="A29:G29"/>
    <mergeCell ref="A1:A2"/>
    <mergeCell ref="H1:H2"/>
    <mergeCell ref="H3:H7"/>
    <mergeCell ref="G1:G2"/>
    <mergeCell ref="B1:E1"/>
    <mergeCell ref="F1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 Alejandra Vargas Torres</dc:creator>
  <cp:lastModifiedBy>Maria  Alejandra Vargas Torres</cp:lastModifiedBy>
  <dcterms:created xsi:type="dcterms:W3CDTF">2022-02-01T23:28:53Z</dcterms:created>
  <dcterms:modified xsi:type="dcterms:W3CDTF">2022-12-01T16:09:27Z</dcterms:modified>
</cp:coreProperties>
</file>